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EstaPasta_de_trabalho" defaultThemeVersion="124226"/>
  <bookViews>
    <workbookView xWindow="0" yWindow="60" windowWidth="19200" windowHeight="11475" tabRatio="808"/>
  </bookViews>
  <sheets>
    <sheet name="Orçamento_Estimativo" sheetId="47" r:id="rId1"/>
    <sheet name="VIG ELET DIURNO" sheetId="20" r:id="rId2"/>
    <sheet name="VIG ELET NOTURNO" sheetId="28" r:id="rId3"/>
    <sheet name="UNIF E EPI ELET" sheetId="49" r:id="rId4"/>
  </sheets>
  <externalReferences>
    <externalReference r:id="rId5"/>
  </externalReferences>
  <definedNames>
    <definedName name="Excel_BuiltIn_Print_Area_1">"$#REF!.$C$2:$F$8"</definedName>
    <definedName name="Excel_BuiltIn_Print_Area_2_1">#REF!</definedName>
    <definedName name="Excel_BuiltIn_Print_Area_3_1">#REF!</definedName>
    <definedName name="Excel_BuiltIn_Print_Area_4_1">#REF!</definedName>
    <definedName name="Excel_BuiltIn_Print_Area_4_1_1">#REF!</definedName>
    <definedName name="Excel_BuiltIn_Print_Area_5_1">#REF!</definedName>
    <definedName name="Excel_BuiltIn_Print_Area_5_1_1">#REF!</definedName>
    <definedName name="Excel_BuiltIn_Print_Area_5_1_1_1">#REF!</definedName>
    <definedName name="Excel_BuiltIn_Print_Area_6_1">#REF!</definedName>
    <definedName name="Excel_BuiltIn_Print_Area_6_1_1">#REF!</definedName>
    <definedName name="Excel_BuiltIn_Print_Area_7_1_1">#REF!</definedName>
    <definedName name="Excel_BuiltIn_Print_Area_8_1">#REF!</definedName>
    <definedName name="Excel_BuiltIn_Print_Titles_3">#REF!</definedName>
  </definedNames>
  <calcPr calcId="144525"/>
</workbook>
</file>

<file path=xl/calcChain.xml><?xml version="1.0" encoding="utf-8"?>
<calcChain xmlns="http://schemas.openxmlformats.org/spreadsheetml/2006/main">
  <c r="F139" i="20" l="1"/>
  <c r="H14" i="47" l="1"/>
  <c r="H14" i="49"/>
  <c r="H16" i="49"/>
  <c r="I18" i="49" s="1"/>
  <c r="E11" i="49"/>
  <c r="E12" i="49"/>
  <c r="E13" i="49"/>
  <c r="E14" i="49"/>
  <c r="E15" i="49"/>
  <c r="E10" i="49"/>
  <c r="D55" i="28"/>
  <c r="D55" i="20"/>
  <c r="B13" i="47"/>
  <c r="B12" i="47"/>
  <c r="J30" i="49"/>
  <c r="J29" i="49"/>
  <c r="E26" i="49"/>
  <c r="F26" i="49" s="1"/>
  <c r="G26" i="49"/>
  <c r="J25" i="49"/>
  <c r="I25" i="49"/>
  <c r="G25" i="49"/>
  <c r="F25" i="49"/>
  <c r="E25" i="49"/>
  <c r="F12" i="49"/>
  <c r="F14" i="49"/>
  <c r="F11" i="49"/>
  <c r="H13" i="49"/>
  <c r="I13" i="49" s="1"/>
  <c r="H15" i="49"/>
  <c r="I15" i="49" s="1"/>
  <c r="F10" i="49"/>
  <c r="H10" i="49" s="1"/>
  <c r="I10" i="49" s="1"/>
  <c r="H11" i="49"/>
  <c r="I11" i="49" s="1"/>
  <c r="H12" i="49"/>
  <c r="I12" i="49" s="1"/>
  <c r="I14" i="49"/>
  <c r="D35" i="28"/>
  <c r="D32" i="28"/>
  <c r="D31" i="28"/>
  <c r="F28" i="28"/>
  <c r="E35" i="20"/>
  <c r="D32" i="20"/>
  <c r="D53" i="28" l="1"/>
  <c r="D53" i="20"/>
  <c r="F15" i="49"/>
  <c r="F13" i="49"/>
  <c r="I26" i="49"/>
  <c r="J26" i="49" s="1"/>
  <c r="E36" i="28"/>
  <c r="D33" i="28"/>
  <c r="E34" i="28"/>
  <c r="E33" i="28"/>
  <c r="D28" i="28"/>
  <c r="D36" i="28" s="1"/>
  <c r="D43" i="20"/>
  <c r="E40" i="20"/>
  <c r="E34" i="20"/>
  <c r="D33" i="20"/>
  <c r="E33" i="20"/>
  <c r="E32" i="20"/>
  <c r="E31" i="28"/>
  <c r="C129" i="28"/>
  <c r="B115" i="28"/>
  <c r="A115" i="28"/>
  <c r="B114" i="28"/>
  <c r="A114" i="28"/>
  <c r="B113" i="28"/>
  <c r="A113" i="28"/>
  <c r="B112" i="28"/>
  <c r="A112" i="28"/>
  <c r="B111" i="28"/>
  <c r="A111" i="28"/>
  <c r="C100" i="28"/>
  <c r="C106" i="28" s="1"/>
  <c r="C91" i="28"/>
  <c r="C84" i="28"/>
  <c r="C75" i="28"/>
  <c r="C71" i="28"/>
  <c r="C153" i="28" s="1"/>
  <c r="D43" i="28"/>
  <c r="D42" i="28"/>
  <c r="D48" i="28" s="1"/>
  <c r="D133" i="28" s="1"/>
  <c r="C37" i="28"/>
  <c r="E29" i="28"/>
  <c r="E28" i="28"/>
  <c r="E29" i="20"/>
  <c r="E28" i="20"/>
  <c r="D42" i="20"/>
  <c r="C107" i="28" l="1"/>
  <c r="C108" i="28" s="1"/>
  <c r="C115" i="28" s="1"/>
  <c r="D56" i="28"/>
  <c r="D57" i="28" s="1"/>
  <c r="D134" i="28" s="1"/>
  <c r="C76" i="28"/>
  <c r="C77" i="28" s="1"/>
  <c r="C94" i="28"/>
  <c r="C97" i="28" s="1"/>
  <c r="C114" i="28" s="1"/>
  <c r="C111" i="28"/>
  <c r="B153" i="28"/>
  <c r="D37" i="28"/>
  <c r="E37" i="28" s="1"/>
  <c r="E38" i="28" s="1"/>
  <c r="E40" i="28" s="1"/>
  <c r="E41" i="28" s="1"/>
  <c r="C85" i="28"/>
  <c r="C86" i="28" s="1"/>
  <c r="C113" i="28" s="1"/>
  <c r="A153" i="28"/>
  <c r="D153" i="28" s="1"/>
  <c r="C144" i="28" s="1"/>
  <c r="C79" i="28" l="1"/>
  <c r="C112" i="28" s="1"/>
  <c r="C78" i="28"/>
  <c r="D104" i="28"/>
  <c r="D102" i="28"/>
  <c r="D100" i="28"/>
  <c r="D96" i="28"/>
  <c r="D147" i="28" s="1"/>
  <c r="D93" i="28"/>
  <c r="D94" i="28" s="1"/>
  <c r="D90" i="28"/>
  <c r="D76" i="28"/>
  <c r="B155" i="28" s="1"/>
  <c r="D75" i="28"/>
  <c r="D70" i="28"/>
  <c r="D68" i="28"/>
  <c r="D66" i="28"/>
  <c r="D64" i="28"/>
  <c r="D132" i="28"/>
  <c r="D103" i="28"/>
  <c r="D101" i="28"/>
  <c r="D95" i="28"/>
  <c r="D92" i="28"/>
  <c r="D83" i="28"/>
  <c r="D84" i="28" s="1"/>
  <c r="D69" i="28"/>
  <c r="D67" i="28"/>
  <c r="D65" i="28"/>
  <c r="D63" i="28"/>
  <c r="C116" i="28"/>
  <c r="D71" i="28" l="1"/>
  <c r="D111" i="28" s="1"/>
  <c r="C155" i="28"/>
  <c r="D77" i="28"/>
  <c r="D91" i="28"/>
  <c r="D97" i="28" s="1"/>
  <c r="D114" i="28" s="1"/>
  <c r="D85" i="28"/>
  <c r="D86" i="28" s="1"/>
  <c r="D113" i="28" s="1"/>
  <c r="A155" i="28"/>
  <c r="D144" i="28" s="1"/>
  <c r="D106" i="28"/>
  <c r="D107" i="28" s="1"/>
  <c r="D108" i="28" s="1"/>
  <c r="D115" i="28" s="1"/>
  <c r="D146" i="28"/>
  <c r="D145" i="28" l="1"/>
  <c r="D149" i="28" s="1"/>
  <c r="D78" i="28"/>
  <c r="D79" i="28" s="1"/>
  <c r="D112" i="28" s="1"/>
  <c r="D116" i="28" s="1"/>
  <c r="D48" i="20"/>
  <c r="D133" i="20" s="1"/>
  <c r="D28" i="20"/>
  <c r="D35" i="20"/>
  <c r="D36" i="20"/>
  <c r="D37" i="20"/>
  <c r="D65" i="20" s="1"/>
  <c r="D56" i="20"/>
  <c r="D57" i="20" s="1"/>
  <c r="D134" i="20" s="1"/>
  <c r="C75" i="20"/>
  <c r="C76" i="20"/>
  <c r="C71" i="20"/>
  <c r="C77" i="20"/>
  <c r="C78" i="20"/>
  <c r="C84" i="20"/>
  <c r="C91" i="20"/>
  <c r="C100" i="20"/>
  <c r="C106" i="20"/>
  <c r="C129" i="20"/>
  <c r="B115" i="20"/>
  <c r="A115" i="20"/>
  <c r="B114" i="20"/>
  <c r="A114" i="20"/>
  <c r="B113" i="20"/>
  <c r="A113" i="20"/>
  <c r="B112" i="20"/>
  <c r="A112" i="20"/>
  <c r="B111" i="20"/>
  <c r="A111" i="20"/>
  <c r="C111" i="20"/>
  <c r="C37" i="20"/>
  <c r="B153" i="20"/>
  <c r="C153" i="20"/>
  <c r="C79" i="20"/>
  <c r="C112" i="20"/>
  <c r="D63" i="20" l="1"/>
  <c r="D102" i="20"/>
  <c r="D93" i="20"/>
  <c r="D67" i="20"/>
  <c r="D135" i="28"/>
  <c r="D136" i="28" s="1"/>
  <c r="D118" i="28"/>
  <c r="C85" i="20"/>
  <c r="C86" i="20" s="1"/>
  <c r="C113" i="20" s="1"/>
  <c r="D104" i="20"/>
  <c r="D100" i="20"/>
  <c r="D96" i="20"/>
  <c r="D147" i="20" s="1"/>
  <c r="D90" i="20"/>
  <c r="D91" i="20" s="1"/>
  <c r="D83" i="20"/>
  <c r="D84" i="20" s="1"/>
  <c r="D76" i="20"/>
  <c r="B155" i="20" s="1"/>
  <c r="D75" i="20"/>
  <c r="C155" i="20" s="1"/>
  <c r="D69" i="20"/>
  <c r="C107" i="20"/>
  <c r="C108" i="20" s="1"/>
  <c r="C115" i="20" s="1"/>
  <c r="D132" i="20"/>
  <c r="D64" i="20"/>
  <c r="D66" i="20"/>
  <c r="D68" i="20"/>
  <c r="D70" i="20"/>
  <c r="D92" i="20"/>
  <c r="D95" i="20"/>
  <c r="D101" i="20"/>
  <c r="D103" i="20"/>
  <c r="C94" i="20"/>
  <c r="C97" i="20" s="1"/>
  <c r="C114" i="20" s="1"/>
  <c r="A153" i="20"/>
  <c r="D153" i="20" s="1"/>
  <c r="C144" i="20" s="1"/>
  <c r="D106" i="20" l="1"/>
  <c r="D107" i="20" s="1"/>
  <c r="D108" i="20" s="1"/>
  <c r="D115" i="20" s="1"/>
  <c r="D123" i="28"/>
  <c r="C116" i="20"/>
  <c r="D85" i="20"/>
  <c r="D86" i="20" s="1"/>
  <c r="D113" i="20" s="1"/>
  <c r="D77" i="20"/>
  <c r="D145" i="20" s="1"/>
  <c r="A155" i="20"/>
  <c r="D144" i="20" s="1"/>
  <c r="D146" i="20"/>
  <c r="D71" i="20"/>
  <c r="D111" i="20" s="1"/>
  <c r="D94" i="20"/>
  <c r="D97" i="20" s="1"/>
  <c r="D114" i="20" s="1"/>
  <c r="D128" i="28" l="1"/>
  <c r="D125" i="28" s="1"/>
  <c r="D149" i="20"/>
  <c r="D78" i="20"/>
  <c r="D79" i="20" s="1"/>
  <c r="D112" i="20" s="1"/>
  <c r="D116" i="20" s="1"/>
  <c r="D126" i="28" l="1"/>
  <c r="D127" i="28"/>
  <c r="D135" i="20"/>
  <c r="D136" i="20" s="1"/>
  <c r="D118" i="20"/>
  <c r="D129" i="28" l="1"/>
  <c r="D137" i="28" s="1"/>
  <c r="D138" i="28" s="1"/>
  <c r="D123" i="20"/>
  <c r="D139" i="28" l="1"/>
  <c r="C13" i="47"/>
  <c r="D128" i="20"/>
  <c r="D127" i="20" s="1"/>
  <c r="E140" i="28" l="1"/>
  <c r="E138" i="28"/>
  <c r="D126" i="20"/>
  <c r="D125" i="20"/>
  <c r="D129" i="20" l="1"/>
  <c r="D137" i="20" s="1"/>
  <c r="D138" i="20" s="1"/>
  <c r="C12" i="47" s="1"/>
  <c r="E12" i="47" s="1"/>
  <c r="G12" i="47" s="1"/>
  <c r="D139" i="20" l="1"/>
  <c r="E138" i="20" s="1"/>
  <c r="E13" i="47" l="1"/>
  <c r="G13" i="47" s="1"/>
  <c r="G14" i="47" s="1"/>
  <c r="H15" i="47" s="1"/>
  <c r="E140" i="20"/>
</calcChain>
</file>

<file path=xl/sharedStrings.xml><?xml version="1.0" encoding="utf-8"?>
<sst xmlns="http://schemas.openxmlformats.org/spreadsheetml/2006/main" count="350" uniqueCount="181">
  <si>
    <t>ORÇAMENTO ESTIMATIVO - Sálarios</t>
  </si>
  <si>
    <t>Posto de trabalho</t>
  </si>
  <si>
    <t>Remuneração (R$)</t>
  </si>
  <si>
    <t>Custo individual do posto (Mensal) (R$)</t>
  </si>
  <si>
    <t>Qtde de postos</t>
  </si>
  <si>
    <t>Valor dos Postos</t>
  </si>
  <si>
    <t>Quant. Meses</t>
  </si>
  <si>
    <t>Valor total do contrato (R$)</t>
  </si>
  <si>
    <t xml:space="preserve">TOTAL </t>
  </si>
  <si>
    <t xml:space="preserve"> </t>
  </si>
  <si>
    <t>PLANILHA DE CUSTOS E FORMAÇÃO DE PREÇOS</t>
  </si>
  <si>
    <r>
      <t>N</t>
    </r>
    <r>
      <rPr>
        <b/>
        <strike/>
        <sz val="8"/>
        <color indexed="8"/>
        <rFont val="Calibri"/>
        <family val="2"/>
      </rPr>
      <t>º</t>
    </r>
    <r>
      <rPr>
        <b/>
        <sz val="8"/>
        <color indexed="8"/>
        <rFont val="Calibri"/>
        <family val="2"/>
      </rPr>
      <t xml:space="preserve"> Processo</t>
    </r>
  </si>
  <si>
    <r>
      <t>Licitação N</t>
    </r>
    <r>
      <rPr>
        <b/>
        <strike/>
        <sz val="8"/>
        <color indexed="8"/>
        <rFont val="Calibri"/>
        <family val="2"/>
      </rPr>
      <t>º</t>
    </r>
    <r>
      <rPr>
        <b/>
        <sz val="8"/>
        <color indexed="8"/>
        <rFont val="Calibri"/>
        <family val="2"/>
      </rPr>
      <t xml:space="preserve"> </t>
    </r>
  </si>
  <si>
    <t xml:space="preserve">Data: </t>
  </si>
  <si>
    <t>A</t>
  </si>
  <si>
    <t>Data de apresentação da proposta (mês/ano)</t>
  </si>
  <si>
    <t>B</t>
  </si>
  <si>
    <t>Municipio/UF</t>
  </si>
  <si>
    <t>C</t>
  </si>
  <si>
    <t>Ano Acordo, Convenção ou Sentença Normativa em Dissídio Coletivo</t>
  </si>
  <si>
    <t>D</t>
  </si>
  <si>
    <t>Tipo Serviço</t>
  </si>
  <si>
    <t>E</t>
  </si>
  <si>
    <t>Unidade Medida</t>
  </si>
  <si>
    <t>Posto</t>
  </si>
  <si>
    <t>F</t>
  </si>
  <si>
    <r>
      <t xml:space="preserve">Quantidade </t>
    </r>
    <r>
      <rPr>
        <b/>
        <i/>
        <u/>
        <sz val="8"/>
        <color indexed="8"/>
        <rFont val="Calibri"/>
        <family val="2"/>
      </rPr>
      <t>(total)</t>
    </r>
    <r>
      <rPr>
        <b/>
        <sz val="8"/>
        <color indexed="8"/>
        <rFont val="Calibri"/>
        <family val="2"/>
      </rPr>
      <t xml:space="preserve"> a contratar (em função da unidade de medida)</t>
    </r>
  </si>
  <si>
    <t>G</t>
  </si>
  <si>
    <r>
      <t>N</t>
    </r>
    <r>
      <rPr>
        <b/>
        <strike/>
        <sz val="8"/>
        <color indexed="8"/>
        <rFont val="Calibri"/>
        <family val="2"/>
      </rPr>
      <t>º</t>
    </r>
    <r>
      <rPr>
        <b/>
        <sz val="8"/>
        <color indexed="8"/>
        <rFont val="Calibri"/>
        <family val="2"/>
      </rPr>
      <t xml:space="preserve"> de meses de execução contratual</t>
    </r>
  </si>
  <si>
    <t>Perfil Profissional</t>
  </si>
  <si>
    <t xml:space="preserve">Salário mínimo oficial vigente </t>
  </si>
  <si>
    <t>Categoria profissional (vinculada à execução contratual)</t>
  </si>
  <si>
    <t>Data base da categoria</t>
  </si>
  <si>
    <t>MODULO 1 - COMPOSIÇÃO DE REMUNERAÇÃO</t>
  </si>
  <si>
    <t>COMPOSIÇÃO DA REMUNERAÇÃO</t>
  </si>
  <si>
    <t>Salário Base</t>
  </si>
  <si>
    <t>%</t>
  </si>
  <si>
    <t>Hora Extra</t>
  </si>
  <si>
    <t>Adicional Noturno</t>
  </si>
  <si>
    <t>Hora Noturna Adicional</t>
  </si>
  <si>
    <t>Outros</t>
  </si>
  <si>
    <t>Total de Remuneração</t>
  </si>
  <si>
    <t>MODULO 2 - BENEFICIOS MENSAIS E DIARIOS</t>
  </si>
  <si>
    <t>BENEFICIOS MENSAIS E DIARIOS</t>
  </si>
  <si>
    <t>Assistência médica</t>
  </si>
  <si>
    <t>Seguro de vida (invalidez e funeral)</t>
  </si>
  <si>
    <t>Total de Benefícios Mensais e Diários</t>
  </si>
  <si>
    <t>MODULO 3 - INSUMOS DIVERSOS</t>
  </si>
  <si>
    <t>INSUMOS DIVERSOS</t>
  </si>
  <si>
    <t>Valor (R$)</t>
  </si>
  <si>
    <t>Uniformes</t>
  </si>
  <si>
    <t>Materiais</t>
  </si>
  <si>
    <t>Equipamentos</t>
  </si>
  <si>
    <t>Total de Insumos Diversos</t>
  </si>
  <si>
    <t>MODULO 4 - ENCARGOS SOCIAIS E TRABALHISTAS</t>
  </si>
  <si>
    <t>ENCARGOS SOCIAIS E TRABALHISTAS</t>
  </si>
  <si>
    <t>4.1</t>
  </si>
  <si>
    <t>Encargos previdenciários FGTS</t>
  </si>
  <si>
    <t xml:space="preserve">INSS </t>
  </si>
  <si>
    <t>SESI/SESC</t>
  </si>
  <si>
    <t>SENAI/SENAC</t>
  </si>
  <si>
    <t>INCRA</t>
  </si>
  <si>
    <t>Salário Educação</t>
  </si>
  <si>
    <t xml:space="preserve">F.G.T.S. </t>
  </si>
  <si>
    <t xml:space="preserve">Seguro Acidente de Trabalho </t>
  </si>
  <si>
    <t>SEBRAE</t>
  </si>
  <si>
    <t>Total dos Encargos Sociais</t>
  </si>
  <si>
    <t>4.2</t>
  </si>
  <si>
    <t>Décimo Terceiro Salário e Adicional de Férias</t>
  </si>
  <si>
    <t>13o Salário</t>
  </si>
  <si>
    <t>Adicional de Férias</t>
  </si>
  <si>
    <t>Subtotal</t>
  </si>
  <si>
    <t>Incidência do submódulo 4.1 sobre o 13º e adicional de férias</t>
  </si>
  <si>
    <t>Total do 13º salário e Adicional de férias</t>
  </si>
  <si>
    <t>4.3</t>
  </si>
  <si>
    <t>Afastamento Maternidade</t>
  </si>
  <si>
    <t>Incidência do submódulo 4.1 sobre o Afastamento de Maternidade</t>
  </si>
  <si>
    <t>Total do Afastamento de Maternidade</t>
  </si>
  <si>
    <t xml:space="preserve">4.4 </t>
  </si>
  <si>
    <t xml:space="preserve">Provisão para rescisão </t>
  </si>
  <si>
    <t>Aviso Prévio indenizado</t>
  </si>
  <si>
    <t>Incidência do FGTS sobre o aviso prévio indenizado</t>
  </si>
  <si>
    <t>Multa do FGTS do aviso prévio indenizado</t>
  </si>
  <si>
    <t>Aviso Prévio Trabalhado</t>
  </si>
  <si>
    <t>Incidência do submódulo 4.1 sobre aviso prévio trabalhado</t>
  </si>
  <si>
    <t>Multa do FGTS do aviso prévio trabalhado</t>
  </si>
  <si>
    <t>Multa do FGTS - Rescisão sem justa causa</t>
  </si>
  <si>
    <t>Total  de Custo de Rescisão</t>
  </si>
  <si>
    <t xml:space="preserve">4.5 </t>
  </si>
  <si>
    <t>Composição do custo de reposição  por profissional ausente</t>
  </si>
  <si>
    <t>Férias</t>
  </si>
  <si>
    <t>Ausência por doença</t>
  </si>
  <si>
    <t>Licença paternidade</t>
  </si>
  <si>
    <t>Ausências Legais</t>
  </si>
  <si>
    <t>Ausência por acidente de trabalho</t>
  </si>
  <si>
    <t>Incidência do submódulo 4.1 sobre o custo de reposição</t>
  </si>
  <si>
    <t>Total de Custo reposição por profissional ausente</t>
  </si>
  <si>
    <t>Módulo 4 - Encargos Sociais e Trabalhistas</t>
  </si>
  <si>
    <t>Total de Custo Encargos Sociais e Trabalhistas</t>
  </si>
  <si>
    <t>TOTAL MÃO DE OBRA</t>
  </si>
  <si>
    <t>MODULO 5 - CUSTOS INDIRETOS, TRIBUTOS E LUCRO</t>
  </si>
  <si>
    <t>Custos Indiretos, Tributos e Lucro</t>
  </si>
  <si>
    <t>Custos Indiretos</t>
  </si>
  <si>
    <t>Tributos</t>
  </si>
  <si>
    <t>B.1</t>
  </si>
  <si>
    <t>COFINS</t>
  </si>
  <si>
    <t>B.2</t>
  </si>
  <si>
    <t>PIS/PASEP</t>
  </si>
  <si>
    <t>B.4</t>
  </si>
  <si>
    <t>ISSQN</t>
  </si>
  <si>
    <t>Lucro</t>
  </si>
  <si>
    <t xml:space="preserve">Total </t>
  </si>
  <si>
    <t>Quadro Resumo do Custo por empregado</t>
  </si>
  <si>
    <t>Módulo 1 - Composição de Remuneração</t>
  </si>
  <si>
    <t>Módulo 2 - Benefícios Mensais e Diários</t>
  </si>
  <si>
    <t>Módulo 3 - Insumos Diversos</t>
  </si>
  <si>
    <t>Subtotal (A+B+C+D)</t>
  </si>
  <si>
    <t>Módulo 5 - Custos Indiretos, Tributos e Lucro</t>
  </si>
  <si>
    <t>Total de Custo por empregado</t>
  </si>
  <si>
    <t>Total de Custo por mês</t>
  </si>
  <si>
    <t>Valor a ser retido para cumprimento do art. 9º da resolução CNJ 183/2013 por Posto</t>
  </si>
  <si>
    <t>INCIDÊNCIA DO SUBMÓDULO 4.1 SOBRE FÉRIAS, ADICIONAL DE FÉRIAS E 13º SALÁRIO</t>
  </si>
  <si>
    <t xml:space="preserve">FÉRIAS E ABONO DE FÉRIAS </t>
  </si>
  <si>
    <t xml:space="preserve">13º SALARIO </t>
  </si>
  <si>
    <t xml:space="preserve">FGTS NAS RESCISÕES SEM JUSTA CAUSA </t>
  </si>
  <si>
    <t>RETENÇÃO POR POSTO</t>
  </si>
  <si>
    <t xml:space="preserve">TOTAL DA RETENÇÃO </t>
  </si>
  <si>
    <t>Adicional de férias</t>
  </si>
  <si>
    <t>13º salario</t>
  </si>
  <si>
    <t>Und</t>
  </si>
  <si>
    <t>unid</t>
  </si>
  <si>
    <t>par</t>
  </si>
  <si>
    <t>07.11.2017</t>
  </si>
  <si>
    <t>Manaus - Am</t>
  </si>
  <si>
    <t xml:space="preserve">AM000285/2017 </t>
  </si>
  <si>
    <t>01.02.2017</t>
  </si>
  <si>
    <t>Vigilância  Eletrônica</t>
  </si>
  <si>
    <t>Vigilante</t>
  </si>
  <si>
    <t>Vigilância</t>
  </si>
  <si>
    <t>Transporte   (3,80 x 2 (quantidade) x 16 dias úteis) - (6% do salário base)</t>
  </si>
  <si>
    <t>Auxílio alimentação (R$ 12,00) x 16 dias úteis - (240*5%)</t>
  </si>
  <si>
    <t>Cesta Básica</t>
  </si>
  <si>
    <t>069/2016</t>
  </si>
  <si>
    <t>23105.030321/2016</t>
  </si>
  <si>
    <t>Fundação Universidade do Amazonas - FUA</t>
  </si>
  <si>
    <t>PREGÃO ELETRÔNICO  069/2016</t>
  </si>
  <si>
    <t>Hora Intrajornada (15 hs)</t>
  </si>
  <si>
    <t>D.S.R. sobre hora intrajornada</t>
  </si>
  <si>
    <t>Sumula 444 TST</t>
  </si>
  <si>
    <t>Auxílio alimentação (R$ 15,00) x 15 dias úteis - (225*5%)</t>
  </si>
  <si>
    <t>Hora Noturna Reduzida</t>
  </si>
  <si>
    <t>D.S.R. sobre hora intrajornada/Adic. Noturno/Hora Not. Reduzida</t>
  </si>
  <si>
    <t>Hora Intrajornada (16 hs)</t>
  </si>
  <si>
    <t>RELAÇÃO DE UNIFORMES</t>
  </si>
  <si>
    <t>Qdte Anual por Operador</t>
  </si>
  <si>
    <t>Custo Unitário por Item</t>
  </si>
  <si>
    <t>Custo Total Anual por Operador</t>
  </si>
  <si>
    <t>Custo Total Mensal por Operador</t>
  </si>
  <si>
    <t>Quant Operadores 2 por posto x 4 postos</t>
  </si>
  <si>
    <t>Valor Total Anual</t>
  </si>
  <si>
    <t>Valor Total Mensal</t>
  </si>
  <si>
    <t>Camisa social, mangas curtas, tecido tricoline mista com emblema da empresa pintado no laado superior</t>
  </si>
  <si>
    <t>Calça em oxford, braguilha com ziper e quatro bolsos embutidos, de boa qualidade</t>
  </si>
  <si>
    <t>Cinto de nylon na cor preta, fivela em metal, com garra regulável, de boa qualidade</t>
  </si>
  <si>
    <t>Par de calçado: botina de segurança, solado baixo, vaqueta relax, poliuretano (pu) bi-densidade, hidrofugado, elástico nas laterais/recoberto alcochoado, palmilha de couro antibacteriana, biqueira plástica, com certificado de aprovação do M.T.E.</t>
  </si>
  <si>
    <t>Crachá (confeccionado em cartãode PVC, medindo 85x50 mm, equipado de presilha, tipo jacaré.</t>
  </si>
  <si>
    <t>Par de meia em algodão, tipo cano longo, de boa qualidade, marca Trifili, Lupo ou similar</t>
  </si>
  <si>
    <t>UNIFORME - OPERADOR DE CFTV</t>
  </si>
  <si>
    <t>Total Anual</t>
  </si>
  <si>
    <t>Total Mensal</t>
  </si>
  <si>
    <t>RELAÇÃO DE MATERIAIS</t>
  </si>
  <si>
    <t>Rádio de comunicação para Campus e áreas Dispersas</t>
  </si>
  <si>
    <t>Vl Unit. Por Item</t>
  </si>
  <si>
    <t>Depreciação meses</t>
  </si>
  <si>
    <t>Custo Total Mensal por posto</t>
  </si>
  <si>
    <t>Custo Total Anual  por Posto</t>
  </si>
  <si>
    <t>Quant. Postos</t>
  </si>
  <si>
    <t>Livro de Ocorrência</t>
  </si>
  <si>
    <t>MATERIAIS - OPERADOR DE CFTV</t>
  </si>
  <si>
    <t>Operador de CFTV Diurno</t>
  </si>
  <si>
    <t>Operador de CFTV Noturno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</si>
</sst>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&quot;R$ &quot;* #,##0.00_);_(&quot;R$ &quot;* \(#,##0.00\);_(&quot;R$ &quot;* &quot;-&quot;??_);_(@_)"/>
    <numFmt numFmtId="166" formatCode="&quot;R$ &quot;#,##0.00"/>
    <numFmt numFmtId="167" formatCode="&quot;R$&quot;\ #,##0.00"/>
    <numFmt numFmtId="168" formatCode="_([$€]* #,##0.00_);_([$€]* \(#,##0.00\);_([$€]* \-??_);_(@_)"/>
    <numFmt numFmtId="169" formatCode="_(&quot;R$&quot;* #,##0.00_);_(&quot;R$&quot;* \(#,##0.00\);_(&quot;R$&quot;* \-??_);_(@_)"/>
    <numFmt numFmtId="170" formatCode="_-* #,##0.00_-;\-* #,##0.00_-;_-* \-??_-;_-@_-"/>
    <numFmt numFmtId="171" formatCode="0.0%"/>
    <numFmt numFmtId="172" formatCode="0.0000%"/>
    <numFmt numFmtId="173" formatCode="0.000%"/>
  </numFmts>
  <fonts count="37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Tahoma"/>
      <family val="2"/>
    </font>
    <font>
      <sz val="10"/>
      <name val="Arial"/>
      <family val="2"/>
    </font>
    <font>
      <sz val="8"/>
      <name val="Calibri"/>
      <family val="2"/>
    </font>
    <font>
      <sz val="8"/>
      <color indexed="8"/>
      <name val="Calibri"/>
      <family val="2"/>
    </font>
    <font>
      <b/>
      <sz val="9"/>
      <color indexed="8"/>
      <name val="Calibri"/>
      <family val="2"/>
    </font>
    <font>
      <sz val="9"/>
      <color indexed="8"/>
      <name val="Calibri"/>
      <family val="2"/>
    </font>
    <font>
      <b/>
      <strike/>
      <sz val="8"/>
      <color indexed="8"/>
      <name val="Calibri"/>
      <family val="2"/>
    </font>
    <font>
      <b/>
      <sz val="8"/>
      <color indexed="8"/>
      <name val="Calibri"/>
      <family val="2"/>
    </font>
    <font>
      <b/>
      <i/>
      <u/>
      <sz val="8"/>
      <color indexed="8"/>
      <name val="Calibri"/>
      <family val="2"/>
    </font>
    <font>
      <b/>
      <i/>
      <sz val="8"/>
      <color indexed="8"/>
      <name val="Calibri"/>
      <family val="2"/>
    </font>
    <font>
      <b/>
      <i/>
      <sz val="8"/>
      <color indexed="10"/>
      <name val="Calibri"/>
      <family val="2"/>
    </font>
    <font>
      <b/>
      <sz val="8"/>
      <color indexed="10"/>
      <name val="Calibri"/>
      <family val="2"/>
    </font>
    <font>
      <b/>
      <sz val="8"/>
      <name val="Calibri"/>
      <family val="2"/>
    </font>
    <font>
      <b/>
      <i/>
      <sz val="8"/>
      <name val="Calibri"/>
      <family val="2"/>
    </font>
    <font>
      <sz val="8"/>
      <color indexed="10"/>
      <name val="Calibri"/>
      <family val="2"/>
    </font>
    <font>
      <sz val="11"/>
      <color indexed="8"/>
      <name val="Calibri"/>
      <family val="2"/>
      <charset val="1"/>
    </font>
    <font>
      <sz val="10"/>
      <name val="Arial"/>
      <family val="2"/>
    </font>
    <font>
      <b/>
      <sz val="8"/>
      <name val="Times New Roman"/>
      <family val="1"/>
    </font>
    <font>
      <b/>
      <sz val="8"/>
      <color indexed="8"/>
      <name val="Times New Roman"/>
      <family val="1"/>
    </font>
    <font>
      <sz val="8"/>
      <name val="Times New Roman"/>
      <family val="1"/>
    </font>
    <font>
      <sz val="8"/>
      <color indexed="8"/>
      <name val="Times New Roman"/>
      <family val="1"/>
    </font>
    <font>
      <b/>
      <sz val="11"/>
      <color indexed="8"/>
      <name val="Calibri"/>
      <family val="2"/>
    </font>
    <font>
      <b/>
      <sz val="9"/>
      <color indexed="8"/>
      <name val="Calibri"/>
      <family val="2"/>
      <charset val="1"/>
    </font>
    <font>
      <b/>
      <sz val="11"/>
      <name val="Calibri"/>
      <family val="2"/>
      <charset val="1"/>
    </font>
    <font>
      <b/>
      <sz val="11"/>
      <color indexed="9"/>
      <name val="Calibri"/>
      <family val="2"/>
      <charset val="1"/>
    </font>
    <font>
      <b/>
      <sz val="10"/>
      <color indexed="8"/>
      <name val="Calibri"/>
      <family val="2"/>
      <charset val="1"/>
    </font>
    <font>
      <sz val="10"/>
      <color indexed="8"/>
      <name val="Calibri"/>
      <family val="2"/>
      <charset val="1"/>
    </font>
    <font>
      <sz val="10"/>
      <color theme="1"/>
      <name val="Calibri"/>
      <family val="2"/>
      <charset val="1"/>
    </font>
    <font>
      <sz val="10"/>
      <name val="Calibri"/>
      <family val="2"/>
      <charset val="1"/>
    </font>
    <font>
      <b/>
      <sz val="11"/>
      <color theme="1"/>
      <name val="Calibri"/>
      <family val="2"/>
      <scheme val="minor"/>
    </font>
    <font>
      <b/>
      <sz val="12"/>
      <name val="Calibri"/>
      <family val="2"/>
      <charset val="1"/>
    </font>
    <font>
      <b/>
      <sz val="10"/>
      <name val="Calibri"/>
      <family val="2"/>
      <charset val="1"/>
    </font>
    <font>
      <sz val="10"/>
      <color indexed="8"/>
      <name val="Calibri"/>
      <family val="2"/>
    </font>
    <font>
      <b/>
      <sz val="11"/>
      <color rgb="FFFF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57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5">
    <xf numFmtId="0" fontId="0" fillId="0" borderId="0"/>
    <xf numFmtId="168" fontId="3" fillId="0" borderId="0" applyFill="0" applyBorder="0" applyAlignment="0" applyProtection="0"/>
    <xf numFmtId="0" fontId="4" fillId="0" borderId="0"/>
    <xf numFmtId="165" fontId="2" fillId="0" borderId="0" applyFont="0" applyFill="0" applyBorder="0" applyAlignment="0" applyProtection="0"/>
    <xf numFmtId="0" fontId="4" fillId="0" borderId="0" applyFill="0" applyBorder="0" applyAlignment="0" applyProtection="0"/>
    <xf numFmtId="0" fontId="4" fillId="0" borderId="0" applyFill="0" applyBorder="0" applyAlignment="0" applyProtection="0"/>
    <xf numFmtId="44" fontId="19" fillId="0" borderId="0" applyFill="0" applyBorder="0" applyAlignment="0" applyProtection="0"/>
    <xf numFmtId="0" fontId="4" fillId="0" borderId="0"/>
    <xf numFmtId="0" fontId="1" fillId="0" borderId="0"/>
    <xf numFmtId="0" fontId="18" fillId="0" borderId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9" fontId="4" fillId="0" borderId="0" applyFill="0" applyBorder="0" applyAlignment="0" applyProtection="0"/>
    <xf numFmtId="43" fontId="1" fillId="0" borderId="0" applyFont="0" applyFill="0" applyBorder="0" applyAlignment="0" applyProtection="0"/>
    <xf numFmtId="170" fontId="18" fillId="0" borderId="0"/>
  </cellStyleXfs>
  <cellXfs count="216">
    <xf numFmtId="0" fontId="0" fillId="0" borderId="0" xfId="0"/>
    <xf numFmtId="0" fontId="6" fillId="0" borderId="0" xfId="8" applyFont="1" applyProtection="1">
      <protection locked="0"/>
    </xf>
    <xf numFmtId="0" fontId="8" fillId="0" borderId="0" xfId="8" applyFont="1" applyProtection="1">
      <protection locked="0"/>
    </xf>
    <xf numFmtId="0" fontId="6" fillId="0" borderId="0" xfId="8" applyFont="1" applyAlignment="1" applyProtection="1">
      <alignment horizontal="center" wrapText="1"/>
      <protection locked="0"/>
    </xf>
    <xf numFmtId="0" fontId="6" fillId="0" borderId="0" xfId="8" applyFont="1" applyFill="1" applyProtection="1">
      <protection locked="0"/>
    </xf>
    <xf numFmtId="49" fontId="6" fillId="0" borderId="0" xfId="8" applyNumberFormat="1" applyFont="1" applyFill="1" applyProtection="1">
      <protection locked="0"/>
    </xf>
    <xf numFmtId="0" fontId="10" fillId="0" borderId="2" xfId="8" applyFont="1" applyFill="1" applyBorder="1" applyAlignment="1" applyProtection="1">
      <alignment horizontal="center" vertical="center" wrapText="1"/>
      <protection locked="0"/>
    </xf>
    <xf numFmtId="0" fontId="10" fillId="0" borderId="3" xfId="8" applyFont="1" applyFill="1" applyBorder="1" applyAlignment="1" applyProtection="1">
      <alignment horizontal="justify" vertical="center" wrapText="1"/>
      <protection locked="0"/>
    </xf>
    <xf numFmtId="0" fontId="10" fillId="0" borderId="3" xfId="8" applyFont="1" applyFill="1" applyBorder="1" applyAlignment="1" applyProtection="1">
      <alignment horizontal="right" vertical="center" wrapText="1"/>
      <protection locked="0"/>
    </xf>
    <xf numFmtId="0" fontId="10" fillId="0" borderId="4" xfId="8" applyFont="1" applyFill="1" applyBorder="1" applyAlignment="1" applyProtection="1">
      <alignment horizontal="right" vertical="center"/>
      <protection locked="0"/>
    </xf>
    <xf numFmtId="0" fontId="6" fillId="2" borderId="0" xfId="8" applyFont="1" applyFill="1" applyProtection="1">
      <protection locked="0"/>
    </xf>
    <xf numFmtId="0" fontId="6" fillId="0" borderId="1" xfId="8" applyFont="1" applyFill="1" applyBorder="1" applyAlignment="1" applyProtection="1">
      <alignment horizontal="center" vertical="center" wrapText="1"/>
    </xf>
    <xf numFmtId="0" fontId="6" fillId="0" borderId="1" xfId="8" applyFont="1" applyFill="1" applyBorder="1" applyAlignment="1" applyProtection="1">
      <alignment horizontal="justify" vertical="center" wrapText="1"/>
    </xf>
    <xf numFmtId="0" fontId="6" fillId="0" borderId="2" xfId="8" applyFont="1" applyFill="1" applyBorder="1" applyProtection="1">
      <protection locked="0"/>
    </xf>
    <xf numFmtId="0" fontId="10" fillId="0" borderId="1" xfId="8" applyFont="1" applyFill="1" applyBorder="1" applyAlignment="1" applyProtection="1">
      <alignment horizontal="center" vertical="center" wrapText="1"/>
    </xf>
    <xf numFmtId="0" fontId="10" fillId="0" borderId="1" xfId="8" applyFont="1" applyFill="1" applyBorder="1" applyAlignment="1" applyProtection="1">
      <alignment horizontal="center" vertical="center" wrapText="1"/>
      <protection locked="0"/>
    </xf>
    <xf numFmtId="10" fontId="6" fillId="0" borderId="1" xfId="8" applyNumberFormat="1" applyFont="1" applyFill="1" applyBorder="1" applyAlignment="1" applyProtection="1">
      <alignment horizontal="center" vertical="center" wrapText="1"/>
      <protection locked="0"/>
    </xf>
    <xf numFmtId="167" fontId="6" fillId="0" borderId="1" xfId="8" applyNumberFormat="1" applyFont="1" applyFill="1" applyBorder="1" applyAlignment="1" applyProtection="1">
      <alignment vertical="center" wrapText="1"/>
      <protection locked="0"/>
    </xf>
    <xf numFmtId="0" fontId="6" fillId="0" borderId="1" xfId="8" applyFont="1" applyFill="1" applyBorder="1" applyAlignment="1" applyProtection="1">
      <alignment horizontal="center" vertical="center" wrapText="1"/>
      <protection locked="0"/>
    </xf>
    <xf numFmtId="0" fontId="6" fillId="0" borderId="1" xfId="8" applyFont="1" applyFill="1" applyBorder="1" applyAlignment="1" applyProtection="1">
      <alignment vertical="center" wrapText="1"/>
      <protection locked="0"/>
    </xf>
    <xf numFmtId="10" fontId="10" fillId="0" borderId="1" xfId="8" applyNumberFormat="1" applyFont="1" applyFill="1" applyBorder="1" applyAlignment="1" applyProtection="1">
      <alignment horizontal="center" vertical="center" wrapText="1"/>
      <protection locked="0"/>
    </xf>
    <xf numFmtId="167" fontId="10" fillId="0" borderId="1" xfId="8" applyNumberFormat="1" applyFont="1" applyFill="1" applyBorder="1" applyAlignment="1" applyProtection="1">
      <alignment vertical="center" wrapText="1"/>
      <protection locked="0"/>
    </xf>
    <xf numFmtId="10" fontId="10" fillId="0" borderId="1" xfId="8" applyNumberFormat="1" applyFont="1" applyFill="1" applyBorder="1" applyAlignment="1" applyProtection="1">
      <alignment horizontal="center" vertical="center" wrapText="1"/>
    </xf>
    <xf numFmtId="167" fontId="10" fillId="0" borderId="1" xfId="8" applyNumberFormat="1" applyFont="1" applyFill="1" applyBorder="1" applyAlignment="1" applyProtection="1">
      <alignment vertical="center" wrapText="1"/>
    </xf>
    <xf numFmtId="0" fontId="12" fillId="0" borderId="2" xfId="8" applyFont="1" applyFill="1" applyBorder="1" applyAlignment="1" applyProtection="1">
      <alignment horizontal="justify" vertical="center" wrapText="1"/>
      <protection locked="0"/>
    </xf>
    <xf numFmtId="0" fontId="10" fillId="0" borderId="3" xfId="8" applyFont="1" applyFill="1" applyBorder="1" applyAlignment="1" applyProtection="1">
      <alignment vertical="center" wrapText="1"/>
      <protection locked="0"/>
    </xf>
    <xf numFmtId="10" fontId="10" fillId="0" borderId="3" xfId="8" applyNumberFormat="1" applyFont="1" applyFill="1" applyBorder="1" applyAlignment="1" applyProtection="1">
      <alignment horizontal="center" vertical="center" wrapText="1"/>
      <protection locked="0"/>
    </xf>
    <xf numFmtId="167" fontId="10" fillId="0" borderId="4" xfId="8" applyNumberFormat="1" applyFont="1" applyFill="1" applyBorder="1" applyAlignment="1" applyProtection="1">
      <alignment vertical="center" wrapText="1"/>
      <protection locked="0"/>
    </xf>
    <xf numFmtId="167" fontId="6" fillId="0" borderId="0" xfId="8" applyNumberFormat="1" applyFont="1" applyFill="1" applyProtection="1">
      <protection locked="0"/>
    </xf>
    <xf numFmtId="0" fontId="15" fillId="0" borderId="1" xfId="8" applyFont="1" applyFill="1" applyBorder="1" applyAlignment="1" applyProtection="1">
      <alignment horizontal="center" vertical="center" wrapText="1"/>
    </xf>
    <xf numFmtId="0" fontId="5" fillId="0" borderId="0" xfId="8" applyFont="1" applyFill="1" applyProtection="1">
      <protection locked="0"/>
    </xf>
    <xf numFmtId="0" fontId="5" fillId="0" borderId="1" xfId="8" applyFont="1" applyFill="1" applyBorder="1" applyAlignment="1" applyProtection="1">
      <alignment horizontal="center" vertical="center" wrapText="1"/>
    </xf>
    <xf numFmtId="171" fontId="5" fillId="0" borderId="0" xfId="8" applyNumberFormat="1" applyFont="1" applyFill="1" applyProtection="1">
      <protection locked="0"/>
    </xf>
    <xf numFmtId="43" fontId="6" fillId="0" borderId="0" xfId="13" applyFont="1" applyFill="1" applyProtection="1">
      <protection locked="0"/>
    </xf>
    <xf numFmtId="0" fontId="6" fillId="0" borderId="1" xfId="8" applyFont="1" applyFill="1" applyBorder="1" applyAlignment="1" applyProtection="1">
      <alignment horizontal="justify" vertical="center" wrapText="1"/>
      <protection locked="0"/>
    </xf>
    <xf numFmtId="10" fontId="6" fillId="0" borderId="0" xfId="8" applyNumberFormat="1" applyFont="1" applyFill="1" applyProtection="1">
      <protection locked="0"/>
    </xf>
    <xf numFmtId="0" fontId="10" fillId="0" borderId="3" xfId="8" applyFont="1" applyFill="1" applyBorder="1" applyAlignment="1" applyProtection="1">
      <alignment vertical="center" wrapText="1"/>
    </xf>
    <xf numFmtId="10" fontId="10" fillId="0" borderId="3" xfId="8" applyNumberFormat="1" applyFont="1" applyFill="1" applyBorder="1" applyAlignment="1" applyProtection="1">
      <alignment horizontal="center" vertical="center" wrapText="1"/>
    </xf>
    <xf numFmtId="167" fontId="10" fillId="0" borderId="4" xfId="8" applyNumberFormat="1" applyFont="1" applyFill="1" applyBorder="1" applyAlignment="1" applyProtection="1">
      <alignment vertical="center" wrapText="1"/>
    </xf>
    <xf numFmtId="0" fontId="16" fillId="0" borderId="1" xfId="8" applyFont="1" applyFill="1" applyBorder="1" applyAlignment="1" applyProtection="1">
      <alignment horizontal="center" vertical="center" wrapText="1"/>
    </xf>
    <xf numFmtId="0" fontId="16" fillId="0" borderId="4" xfId="8" applyFont="1" applyFill="1" applyBorder="1" applyAlignment="1" applyProtection="1">
      <alignment horizontal="justify" vertical="center" wrapText="1"/>
    </xf>
    <xf numFmtId="10" fontId="10" fillId="0" borderId="0" xfId="8" applyNumberFormat="1" applyFont="1" applyFill="1" applyBorder="1" applyAlignment="1" applyProtection="1">
      <alignment horizontal="center" vertical="center" wrapText="1"/>
      <protection locked="0"/>
    </xf>
    <xf numFmtId="0" fontId="17" fillId="0" borderId="0" xfId="8" applyFont="1" applyFill="1" applyProtection="1">
      <protection locked="0"/>
    </xf>
    <xf numFmtId="10" fontId="15" fillId="0" borderId="1" xfId="8" applyNumberFormat="1" applyFont="1" applyFill="1" applyBorder="1" applyAlignment="1" applyProtection="1">
      <alignment horizontal="center" vertical="center" wrapText="1"/>
    </xf>
    <xf numFmtId="167" fontId="15" fillId="0" borderId="1" xfId="8" applyNumberFormat="1" applyFont="1" applyFill="1" applyBorder="1" applyAlignment="1" applyProtection="1">
      <alignment vertical="center" wrapText="1"/>
    </xf>
    <xf numFmtId="0" fontId="5" fillId="0" borderId="1" xfId="8" applyFont="1" applyFill="1" applyBorder="1" applyAlignment="1" applyProtection="1">
      <alignment horizontal="justify" vertical="center" wrapText="1"/>
    </xf>
    <xf numFmtId="0" fontId="15" fillId="0" borderId="4" xfId="8" applyFont="1" applyFill="1" applyBorder="1" applyAlignment="1" applyProtection="1">
      <alignment horizontal="justify" vertical="center" wrapText="1"/>
    </xf>
    <xf numFmtId="10" fontId="15" fillId="0" borderId="0" xfId="8" applyNumberFormat="1" applyFont="1" applyFill="1" applyBorder="1" applyAlignment="1" applyProtection="1">
      <alignment horizontal="center" vertical="center" wrapText="1"/>
      <protection locked="0"/>
    </xf>
    <xf numFmtId="10" fontId="5" fillId="0" borderId="0" xfId="8" applyNumberFormat="1" applyFont="1" applyFill="1" applyProtection="1">
      <protection locked="0"/>
    </xf>
    <xf numFmtId="0" fontId="6" fillId="0" borderId="1" xfId="8" applyFont="1" applyFill="1" applyBorder="1" applyAlignment="1" applyProtection="1">
      <alignment vertical="center" wrapText="1"/>
    </xf>
    <xf numFmtId="10" fontId="6" fillId="0" borderId="1" xfId="8" applyNumberFormat="1" applyFont="1" applyFill="1" applyBorder="1" applyAlignment="1" applyProtection="1">
      <alignment horizontal="center" vertical="center" wrapText="1"/>
    </xf>
    <xf numFmtId="0" fontId="6" fillId="0" borderId="2" xfId="8" applyFont="1" applyFill="1" applyBorder="1" applyAlignment="1" applyProtection="1">
      <alignment horizontal="center" vertical="center" wrapText="1"/>
    </xf>
    <xf numFmtId="10" fontId="6" fillId="0" borderId="0" xfId="10" applyNumberFormat="1" applyFont="1" applyFill="1" applyProtection="1">
      <protection locked="0"/>
    </xf>
    <xf numFmtId="0" fontId="6" fillId="0" borderId="0" xfId="8" applyFont="1" applyFill="1" applyAlignment="1" applyProtection="1">
      <alignment vertical="center"/>
      <protection locked="0"/>
    </xf>
    <xf numFmtId="0" fontId="6" fillId="0" borderId="0" xfId="8" applyNumberFormat="1" applyFont="1" applyFill="1" applyProtection="1">
      <protection locked="0"/>
    </xf>
    <xf numFmtId="0" fontId="1" fillId="0" borderId="0" xfId="8" applyFont="1" applyProtection="1">
      <protection locked="0"/>
    </xf>
    <xf numFmtId="0" fontId="6" fillId="0" borderId="2" xfId="8" applyFont="1" applyFill="1" applyBorder="1" applyAlignment="1" applyProtection="1">
      <alignment horizontal="center" vertical="center" wrapText="1"/>
      <protection locked="0"/>
    </xf>
    <xf numFmtId="0" fontId="6" fillId="0" borderId="3" xfId="8" applyFont="1" applyFill="1" applyBorder="1" applyAlignment="1" applyProtection="1">
      <alignment horizontal="justify" vertical="center" wrapText="1"/>
      <protection locked="0"/>
    </xf>
    <xf numFmtId="17" fontId="6" fillId="0" borderId="3" xfId="8" applyNumberFormat="1" applyFont="1" applyFill="1" applyBorder="1" applyAlignment="1" applyProtection="1">
      <alignment horizontal="right" vertical="center" wrapText="1"/>
      <protection locked="0"/>
    </xf>
    <xf numFmtId="0" fontId="6" fillId="0" borderId="4" xfId="8" applyFont="1" applyFill="1" applyBorder="1" applyAlignment="1" applyProtection="1">
      <alignment horizontal="right" vertical="center"/>
      <protection locked="0"/>
    </xf>
    <xf numFmtId="167" fontId="6" fillId="0" borderId="1" xfId="8" applyNumberFormat="1" applyFont="1" applyFill="1" applyBorder="1" applyAlignment="1" applyProtection="1">
      <alignment horizontal="right" vertical="center" wrapText="1"/>
      <protection locked="0"/>
    </xf>
    <xf numFmtId="167" fontId="6" fillId="0" borderId="1" xfId="8" applyNumberFormat="1" applyFont="1" applyFill="1" applyBorder="1" applyAlignment="1" applyProtection="1">
      <alignment vertical="center" wrapText="1"/>
    </xf>
    <xf numFmtId="0" fontId="6" fillId="0" borderId="1" xfId="8" applyFont="1" applyFill="1" applyBorder="1" applyAlignment="1" applyProtection="1">
      <alignment horizontal="left" vertical="center" wrapText="1"/>
    </xf>
    <xf numFmtId="0" fontId="13" fillId="0" borderId="2" xfId="8" applyFont="1" applyFill="1" applyBorder="1" applyAlignment="1" applyProtection="1">
      <alignment horizontal="justify" vertical="center" wrapText="1"/>
    </xf>
    <xf numFmtId="0" fontId="14" fillId="0" borderId="3" xfId="8" applyFont="1" applyFill="1" applyBorder="1" applyAlignment="1" applyProtection="1">
      <alignment vertical="center" wrapText="1"/>
    </xf>
    <xf numFmtId="10" fontId="14" fillId="0" borderId="3" xfId="8" applyNumberFormat="1" applyFont="1" applyFill="1" applyBorder="1" applyAlignment="1" applyProtection="1">
      <alignment horizontal="center" vertical="center" wrapText="1"/>
    </xf>
    <xf numFmtId="167" fontId="14" fillId="0" borderId="4" xfId="8" applyNumberFormat="1" applyFont="1" applyFill="1" applyBorder="1" applyAlignment="1" applyProtection="1">
      <alignment vertical="center" wrapText="1"/>
    </xf>
    <xf numFmtId="0" fontId="15" fillId="0" borderId="3" xfId="8" applyFont="1" applyFill="1" applyBorder="1" applyAlignment="1" applyProtection="1">
      <alignment vertical="center" wrapText="1"/>
    </xf>
    <xf numFmtId="0" fontId="5" fillId="0" borderId="3" xfId="8" applyFont="1" applyFill="1" applyBorder="1" applyAlignment="1" applyProtection="1">
      <alignment vertical="center" wrapText="1"/>
    </xf>
    <xf numFmtId="0" fontId="5" fillId="0" borderId="1" xfId="8" applyFont="1" applyFill="1" applyBorder="1" applyAlignment="1" applyProtection="1">
      <alignment vertical="center" wrapText="1"/>
    </xf>
    <xf numFmtId="167" fontId="5" fillId="0" borderId="1" xfId="8" applyNumberFormat="1" applyFont="1" applyFill="1" applyBorder="1" applyAlignment="1" applyProtection="1">
      <alignment vertical="center" wrapText="1"/>
    </xf>
    <xf numFmtId="10" fontId="5" fillId="0" borderId="1" xfId="8" applyNumberFormat="1" applyFont="1" applyFill="1" applyBorder="1" applyAlignment="1" applyProtection="1">
      <alignment horizontal="center" vertical="center" wrapText="1"/>
    </xf>
    <xf numFmtId="167" fontId="10" fillId="0" borderId="1" xfId="8" applyNumberFormat="1" applyFont="1" applyFill="1" applyBorder="1" applyAlignment="1" applyProtection="1">
      <alignment horizontal="right" vertical="center" wrapText="1"/>
    </xf>
    <xf numFmtId="167" fontId="15" fillId="0" borderId="1" xfId="8" applyNumberFormat="1" applyFont="1" applyFill="1" applyBorder="1" applyAlignment="1" applyProtection="1">
      <alignment horizontal="right" vertical="center" wrapText="1"/>
    </xf>
    <xf numFmtId="167" fontId="6" fillId="0" borderId="1" xfId="8" applyNumberFormat="1" applyFont="1" applyFill="1" applyBorder="1" applyAlignment="1" applyProtection="1">
      <alignment horizontal="right" vertical="center" wrapText="1"/>
    </xf>
    <xf numFmtId="0" fontId="6" fillId="0" borderId="1" xfId="8" applyFont="1" applyBorder="1" applyProtection="1">
      <protection locked="0"/>
    </xf>
    <xf numFmtId="10" fontId="6" fillId="0" borderId="1" xfId="8" applyNumberFormat="1" applyFont="1" applyBorder="1" applyProtection="1">
      <protection locked="0"/>
    </xf>
    <xf numFmtId="10" fontId="6" fillId="0" borderId="1" xfId="10" applyNumberFormat="1" applyFont="1" applyBorder="1" applyProtection="1">
      <protection locked="0"/>
    </xf>
    <xf numFmtId="167" fontId="6" fillId="0" borderId="1" xfId="8" applyNumberFormat="1" applyFont="1" applyBorder="1" applyProtection="1">
      <protection locked="0"/>
    </xf>
    <xf numFmtId="167" fontId="5" fillId="0" borderId="1" xfId="8" applyNumberFormat="1" applyFont="1" applyFill="1" applyBorder="1" applyAlignment="1" applyProtection="1">
      <alignment vertical="center" wrapText="1"/>
      <protection locked="0"/>
    </xf>
    <xf numFmtId="0" fontId="21" fillId="0" borderId="1" xfId="0" applyFont="1" applyBorder="1"/>
    <xf numFmtId="0" fontId="22" fillId="0" borderId="1" xfId="0" applyFont="1" applyBorder="1" applyAlignment="1">
      <alignment vertical="center"/>
    </xf>
    <xf numFmtId="2" fontId="22" fillId="0" borderId="1" xfId="0" applyNumberFormat="1" applyFont="1" applyBorder="1" applyAlignment="1">
      <alignment vertical="center"/>
    </xf>
    <xf numFmtId="165" fontId="22" fillId="0" borderId="1" xfId="3" applyFont="1" applyBorder="1" applyAlignment="1">
      <alignment vertical="center"/>
    </xf>
    <xf numFmtId="0" fontId="22" fillId="0" borderId="1" xfId="0" applyFont="1" applyBorder="1" applyAlignment="1">
      <alignment vertical="center" wrapText="1"/>
    </xf>
    <xf numFmtId="10" fontId="22" fillId="0" borderId="1" xfId="10" applyNumberFormat="1" applyFont="1" applyBorder="1" applyAlignment="1">
      <alignment vertical="center"/>
    </xf>
    <xf numFmtId="0" fontId="23" fillId="0" borderId="1" xfId="0" applyFont="1" applyBorder="1" applyAlignment="1">
      <alignment horizontal="justify" vertical="center"/>
    </xf>
    <xf numFmtId="165" fontId="20" fillId="0" borderId="1" xfId="3" applyFont="1" applyBorder="1" applyAlignment="1">
      <alignment vertical="center"/>
    </xf>
    <xf numFmtId="0" fontId="6" fillId="0" borderId="1" xfId="8" applyFont="1" applyBorder="1" applyAlignment="1" applyProtection="1">
      <alignment horizontal="right"/>
      <protection locked="0"/>
    </xf>
    <xf numFmtId="172" fontId="6" fillId="0" borderId="1" xfId="8" applyNumberFormat="1" applyFont="1" applyFill="1" applyBorder="1" applyAlignment="1" applyProtection="1">
      <alignment horizontal="center" vertical="center" wrapText="1"/>
      <protection locked="0"/>
    </xf>
    <xf numFmtId="165" fontId="22" fillId="0" borderId="1" xfId="3" applyFont="1" applyBorder="1" applyAlignment="1">
      <alignment horizontal="left" vertical="center"/>
    </xf>
    <xf numFmtId="0" fontId="10" fillId="0" borderId="1" xfId="8" applyFont="1" applyBorder="1" applyAlignment="1" applyProtection="1">
      <alignment horizontal="center"/>
      <protection locked="0"/>
    </xf>
    <xf numFmtId="164" fontId="10" fillId="0" borderId="0" xfId="11" applyFont="1" applyFill="1" applyBorder="1" applyAlignment="1" applyProtection="1">
      <alignment horizontal="center" vertical="center" wrapText="1"/>
      <protection locked="0"/>
    </xf>
    <xf numFmtId="164" fontId="10" fillId="0" borderId="1" xfId="11" applyFont="1" applyFill="1" applyBorder="1" applyAlignment="1" applyProtection="1">
      <alignment horizontal="center" vertical="center" wrapText="1"/>
    </xf>
    <xf numFmtId="0" fontId="18" fillId="0" borderId="0" xfId="9" applyFill="1" applyBorder="1"/>
    <xf numFmtId="0" fontId="18" fillId="0" borderId="0" xfId="9"/>
    <xf numFmtId="0" fontId="28" fillId="0" borderId="5" xfId="9" applyFont="1" applyFill="1" applyBorder="1" applyAlignment="1">
      <alignment horizontal="center" vertical="center" wrapText="1"/>
    </xf>
    <xf numFmtId="0" fontId="29" fillId="0" borderId="5" xfId="9" applyFont="1" applyFill="1" applyBorder="1" applyAlignment="1">
      <alignment horizontal="left" vertical="center" wrapText="1"/>
    </xf>
    <xf numFmtId="170" fontId="29" fillId="0" borderId="5" xfId="14" applyFont="1" applyFill="1" applyBorder="1" applyAlignment="1" applyProtection="1">
      <alignment horizontal="center" vertical="center" wrapText="1"/>
    </xf>
    <xf numFmtId="0" fontId="5" fillId="0" borderId="4" xfId="8" applyFont="1" applyFill="1" applyBorder="1" applyAlignment="1" applyProtection="1">
      <alignment vertical="center" wrapText="1"/>
    </xf>
    <xf numFmtId="0" fontId="10" fillId="0" borderId="2" xfId="8" applyFont="1" applyFill="1" applyBorder="1" applyAlignment="1" applyProtection="1">
      <alignment horizontal="justify" vertical="center" wrapText="1"/>
    </xf>
    <xf numFmtId="0" fontId="6" fillId="0" borderId="3" xfId="8" applyFont="1" applyFill="1" applyBorder="1" applyAlignment="1" applyProtection="1">
      <alignment vertical="center" wrapText="1"/>
    </xf>
    <xf numFmtId="0" fontId="6" fillId="0" borderId="4" xfId="8" applyFont="1" applyFill="1" applyBorder="1" applyAlignment="1" applyProtection="1">
      <alignment vertical="center" wrapText="1"/>
    </xf>
    <xf numFmtId="0" fontId="12" fillId="0" borderId="2" xfId="8" applyFont="1" applyFill="1" applyBorder="1" applyAlignment="1" applyProtection="1">
      <alignment horizontal="justify" vertical="center" wrapText="1"/>
    </xf>
    <xf numFmtId="0" fontId="10" fillId="0" borderId="4" xfId="8" applyFont="1" applyFill="1" applyBorder="1" applyAlignment="1" applyProtection="1">
      <alignment vertical="center" wrapText="1"/>
    </xf>
    <xf numFmtId="0" fontId="10" fillId="0" borderId="2" xfId="8" applyFont="1" applyFill="1" applyBorder="1" applyAlignment="1" applyProtection="1">
      <alignment horizontal="justify" vertical="center" wrapText="1"/>
      <protection locked="0"/>
    </xf>
    <xf numFmtId="0" fontId="10" fillId="0" borderId="4" xfId="8" applyFont="1" applyFill="1" applyBorder="1" applyAlignment="1" applyProtection="1">
      <alignment vertical="center" wrapText="1"/>
      <protection locked="0"/>
    </xf>
    <xf numFmtId="0" fontId="10" fillId="0" borderId="1" xfId="8" applyFont="1" applyFill="1" applyBorder="1" applyAlignment="1" applyProtection="1">
      <alignment horizontal="justify" vertic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64" fontId="0" fillId="0" borderId="1" xfId="11" applyFont="1" applyBorder="1"/>
    <xf numFmtId="0" fontId="32" fillId="0" borderId="1" xfId="0" applyFont="1" applyBorder="1" applyAlignment="1">
      <alignment horizontal="center" wrapText="1"/>
    </xf>
    <xf numFmtId="0" fontId="5" fillId="0" borderId="4" xfId="8" applyFont="1" applyFill="1" applyBorder="1" applyAlignment="1" applyProtection="1">
      <alignment vertical="center" wrapText="1"/>
    </xf>
    <xf numFmtId="0" fontId="10" fillId="0" borderId="2" xfId="8" applyFont="1" applyFill="1" applyBorder="1" applyAlignment="1" applyProtection="1">
      <alignment horizontal="justify" vertical="center" wrapText="1"/>
    </xf>
    <xf numFmtId="0" fontId="6" fillId="0" borderId="3" xfId="8" applyFont="1" applyFill="1" applyBorder="1" applyAlignment="1" applyProtection="1">
      <alignment vertical="center" wrapText="1"/>
    </xf>
    <xf numFmtId="0" fontId="6" fillId="0" borderId="4" xfId="8" applyFont="1" applyFill="1" applyBorder="1" applyAlignment="1" applyProtection="1">
      <alignment vertical="center" wrapText="1"/>
    </xf>
    <xf numFmtId="0" fontId="12" fillId="0" borderId="2" xfId="8" applyFont="1" applyFill="1" applyBorder="1" applyAlignment="1" applyProtection="1">
      <alignment horizontal="justify" vertical="center" wrapText="1"/>
    </xf>
    <xf numFmtId="0" fontId="10" fillId="0" borderId="4" xfId="8" applyFont="1" applyFill="1" applyBorder="1" applyAlignment="1" applyProtection="1">
      <alignment vertical="center" wrapText="1"/>
    </xf>
    <xf numFmtId="0" fontId="10" fillId="0" borderId="2" xfId="8" applyFont="1" applyFill="1" applyBorder="1" applyAlignment="1" applyProtection="1">
      <alignment horizontal="justify" vertical="center" wrapText="1"/>
      <protection locked="0"/>
    </xf>
    <xf numFmtId="0" fontId="10" fillId="0" borderId="4" xfId="8" applyFont="1" applyFill="1" applyBorder="1" applyAlignment="1" applyProtection="1">
      <alignment vertical="center" wrapText="1"/>
      <protection locked="0"/>
    </xf>
    <xf numFmtId="0" fontId="10" fillId="0" borderId="1" xfId="8" applyFont="1" applyFill="1" applyBorder="1" applyAlignment="1" applyProtection="1">
      <alignment horizontal="justify" vertical="center" wrapText="1"/>
    </xf>
    <xf numFmtId="0" fontId="10" fillId="0" borderId="3" xfId="8" applyFont="1" applyFill="1" applyBorder="1" applyAlignment="1" applyProtection="1">
      <alignment horizontal="center" vertical="center" wrapText="1"/>
      <protection locked="0"/>
    </xf>
    <xf numFmtId="0" fontId="10" fillId="0" borderId="4" xfId="8" applyFont="1" applyFill="1" applyBorder="1" applyAlignment="1" applyProtection="1">
      <alignment horizontal="center" vertical="center"/>
      <protection locked="0"/>
    </xf>
    <xf numFmtId="0" fontId="10" fillId="0" borderId="1" xfId="8" applyNumberFormat="1" applyFont="1" applyFill="1" applyBorder="1" applyAlignment="1" applyProtection="1">
      <alignment horizontal="center" vertical="center" wrapText="1"/>
    </xf>
    <xf numFmtId="167" fontId="6" fillId="2" borderId="0" xfId="8" applyNumberFormat="1" applyFont="1" applyFill="1" applyProtection="1">
      <protection locked="0"/>
    </xf>
    <xf numFmtId="0" fontId="32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3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1" xfId="11" applyFont="1" applyBorder="1" applyAlignment="1">
      <alignment vertical="center"/>
    </xf>
    <xf numFmtId="0" fontId="0" fillId="0" borderId="1" xfId="11" applyNumberFormat="1" applyFont="1" applyBorder="1" applyAlignment="1">
      <alignment horizontal="center" vertical="center"/>
    </xf>
    <xf numFmtId="0" fontId="0" fillId="0" borderId="8" xfId="11" applyNumberFormat="1" applyFont="1" applyBorder="1" applyAlignment="1">
      <alignment horizontal="center" vertical="center"/>
    </xf>
    <xf numFmtId="164" fontId="0" fillId="0" borderId="16" xfId="11" applyFont="1" applyBorder="1" applyAlignment="1">
      <alignment horizontal="center"/>
    </xf>
    <xf numFmtId="164" fontId="0" fillId="0" borderId="17" xfId="11" applyFont="1" applyBorder="1" applyAlignment="1">
      <alignment horizontal="center"/>
    </xf>
    <xf numFmtId="164" fontId="0" fillId="0" borderId="21" xfId="11" applyFont="1" applyBorder="1"/>
    <xf numFmtId="164" fontId="0" fillId="0" borderId="22" xfId="11" applyFont="1" applyBorder="1"/>
    <xf numFmtId="43" fontId="0" fillId="0" borderId="0" xfId="0" applyNumberFormat="1"/>
    <xf numFmtId="43" fontId="0" fillId="0" borderId="1" xfId="0" applyNumberFormat="1" applyBorder="1"/>
    <xf numFmtId="43" fontId="32" fillId="0" borderId="1" xfId="0" applyNumberFormat="1" applyFont="1" applyBorder="1"/>
    <xf numFmtId="0" fontId="32" fillId="0" borderId="1" xfId="0" applyFont="1" applyBorder="1"/>
    <xf numFmtId="164" fontId="32" fillId="0" borderId="16" xfId="11" applyFont="1" applyBorder="1" applyAlignment="1">
      <alignment horizontal="center"/>
    </xf>
    <xf numFmtId="164" fontId="32" fillId="0" borderId="17" xfId="11" applyFont="1" applyBorder="1" applyAlignment="1">
      <alignment horizontal="center"/>
    </xf>
    <xf numFmtId="164" fontId="29" fillId="0" borderId="5" xfId="11" applyFont="1" applyFill="1" applyBorder="1" applyAlignment="1" applyProtection="1">
      <alignment horizontal="right" vertical="center" wrapText="1"/>
    </xf>
    <xf numFmtId="164" fontId="35" fillId="0" borderId="5" xfId="11" applyFont="1" applyFill="1" applyBorder="1" applyAlignment="1">
      <alignment horizontal="center" vertical="center" wrapText="1"/>
    </xf>
    <xf numFmtId="0" fontId="35" fillId="0" borderId="5" xfId="9" applyFont="1" applyFill="1" applyBorder="1" applyAlignment="1">
      <alignment horizontal="center" vertical="center" wrapText="1"/>
    </xf>
    <xf numFmtId="0" fontId="30" fillId="0" borderId="5" xfId="14" applyNumberFormat="1" applyFont="1" applyFill="1" applyBorder="1" applyAlignment="1" applyProtection="1">
      <alignment horizontal="center" vertical="center" wrapText="1"/>
    </xf>
    <xf numFmtId="0" fontId="31" fillId="0" borderId="5" xfId="14" applyNumberFormat="1" applyFont="1" applyFill="1" applyBorder="1" applyAlignment="1" applyProtection="1">
      <alignment horizontal="center" vertical="center" wrapText="1"/>
    </xf>
    <xf numFmtId="164" fontId="34" fillId="3" borderId="6" xfId="11" applyFont="1" applyFill="1" applyBorder="1" applyAlignment="1">
      <alignment horizontal="center" vertical="center"/>
    </xf>
    <xf numFmtId="164" fontId="18" fillId="0" borderId="0" xfId="11" applyFont="1" applyFill="1" applyBorder="1"/>
    <xf numFmtId="164" fontId="24" fillId="0" borderId="0" xfId="11" applyFont="1" applyFill="1" applyBorder="1"/>
    <xf numFmtId="173" fontId="36" fillId="0" borderId="0" xfId="10" applyNumberFormat="1" applyFont="1" applyFill="1" applyBorder="1"/>
    <xf numFmtId="0" fontId="27" fillId="0" borderId="0" xfId="9" applyFont="1" applyFill="1" applyBorder="1" applyAlignment="1">
      <alignment horizontal="center" vertical="center"/>
    </xf>
    <xf numFmtId="0" fontId="25" fillId="0" borderId="0" xfId="9" applyFont="1" applyFill="1" applyBorder="1" applyAlignment="1">
      <alignment horizontal="center" vertical="center" wrapText="1"/>
    </xf>
    <xf numFmtId="0" fontId="33" fillId="3" borderId="9" xfId="9" applyFont="1" applyFill="1" applyBorder="1" applyAlignment="1">
      <alignment horizontal="center" vertical="center"/>
    </xf>
    <xf numFmtId="0" fontId="26" fillId="0" borderId="0" xfId="9" applyFont="1" applyFill="1" applyBorder="1" applyAlignment="1">
      <alignment horizontal="left" vertical="center"/>
    </xf>
    <xf numFmtId="0" fontId="34" fillId="3" borderId="7" xfId="9" applyFont="1" applyFill="1" applyBorder="1" applyAlignment="1">
      <alignment horizontal="center" vertical="center"/>
    </xf>
    <xf numFmtId="0" fontId="34" fillId="3" borderId="10" xfId="9" applyFont="1" applyFill="1" applyBorder="1" applyAlignment="1">
      <alignment horizontal="center" vertical="center"/>
    </xf>
    <xf numFmtId="0" fontId="34" fillId="3" borderId="11" xfId="9" applyFont="1" applyFill="1" applyBorder="1" applyAlignment="1">
      <alignment horizontal="center" vertical="center"/>
    </xf>
    <xf numFmtId="0" fontId="20" fillId="0" borderId="2" xfId="0" applyFont="1" applyBorder="1" applyAlignment="1">
      <alignment horizontal="center" wrapText="1"/>
    </xf>
    <xf numFmtId="0" fontId="20" fillId="0" borderId="3" xfId="0" applyFont="1" applyBorder="1" applyAlignment="1">
      <alignment horizontal="center"/>
    </xf>
    <xf numFmtId="0" fontId="20" fillId="0" borderId="4" xfId="0" applyFont="1" applyBorder="1" applyAlignment="1">
      <alignment horizontal="center"/>
    </xf>
    <xf numFmtId="0" fontId="20" fillId="0" borderId="2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15" fillId="0" borderId="2" xfId="8" applyFont="1" applyFill="1" applyBorder="1" applyAlignment="1" applyProtection="1">
      <alignment horizontal="justify" vertical="center" wrapText="1"/>
    </xf>
    <xf numFmtId="0" fontId="5" fillId="0" borderId="4" xfId="8" applyFont="1" applyFill="1" applyBorder="1" applyAlignment="1" applyProtection="1">
      <alignment vertical="center" wrapText="1"/>
    </xf>
    <xf numFmtId="0" fontId="10" fillId="0" borderId="2" xfId="8" applyFont="1" applyFill="1" applyBorder="1" applyAlignment="1" applyProtection="1">
      <alignment horizontal="justify" vertical="center" wrapText="1"/>
    </xf>
    <xf numFmtId="0" fontId="6" fillId="0" borderId="3" xfId="8" applyFont="1" applyFill="1" applyBorder="1" applyAlignment="1" applyProtection="1">
      <alignment vertical="center" wrapText="1"/>
    </xf>
    <xf numFmtId="0" fontId="6" fillId="0" borderId="4" xfId="8" applyFont="1" applyFill="1" applyBorder="1" applyAlignment="1" applyProtection="1">
      <alignment vertical="center" wrapText="1"/>
    </xf>
    <xf numFmtId="0" fontId="12" fillId="0" borderId="2" xfId="8" applyFont="1" applyFill="1" applyBorder="1" applyAlignment="1" applyProtection="1">
      <alignment horizontal="justify" vertical="center" wrapText="1"/>
    </xf>
    <xf numFmtId="0" fontId="0" fillId="0" borderId="4" xfId="0" applyFont="1" applyFill="1" applyBorder="1" applyAlignment="1" applyProtection="1">
      <alignment vertical="center" wrapText="1"/>
    </xf>
    <xf numFmtId="0" fontId="10" fillId="0" borderId="2" xfId="8" applyFont="1" applyFill="1" applyBorder="1" applyAlignment="1" applyProtection="1">
      <alignment horizontal="center" vertical="center" wrapText="1"/>
    </xf>
    <xf numFmtId="0" fontId="10" fillId="0" borderId="4" xfId="8" applyFont="1" applyFill="1" applyBorder="1" applyAlignment="1" applyProtection="1">
      <alignment horizontal="center" vertical="center" wrapText="1"/>
    </xf>
    <xf numFmtId="0" fontId="15" fillId="0" borderId="3" xfId="8" applyFont="1" applyFill="1" applyBorder="1" applyAlignment="1" applyProtection="1">
      <alignment vertical="center"/>
    </xf>
    <xf numFmtId="0" fontId="15" fillId="0" borderId="4" xfId="8" applyFont="1" applyFill="1" applyBorder="1" applyAlignment="1" applyProtection="1">
      <alignment vertical="center"/>
    </xf>
    <xf numFmtId="0" fontId="10" fillId="0" borderId="4" xfId="8" applyFont="1" applyFill="1" applyBorder="1" applyAlignment="1" applyProtection="1">
      <alignment vertical="center" wrapText="1"/>
    </xf>
    <xf numFmtId="0" fontId="16" fillId="0" borderId="2" xfId="8" applyFont="1" applyFill="1" applyBorder="1" applyAlignment="1" applyProtection="1">
      <alignment horizontal="justify" vertical="center" wrapText="1"/>
    </xf>
    <xf numFmtId="0" fontId="15" fillId="0" borderId="4" xfId="8" applyFont="1" applyFill="1" applyBorder="1" applyAlignment="1" applyProtection="1">
      <alignment vertical="center" wrapText="1"/>
    </xf>
    <xf numFmtId="0" fontId="12" fillId="0" borderId="2" xfId="8" applyFont="1" applyFill="1" applyBorder="1" applyAlignment="1" applyProtection="1">
      <alignment horizontal="left" vertical="center" wrapText="1"/>
    </xf>
    <xf numFmtId="0" fontId="12" fillId="0" borderId="4" xfId="8" applyFont="1" applyFill="1" applyBorder="1" applyAlignment="1" applyProtection="1">
      <alignment horizontal="left" vertical="center" wrapText="1"/>
    </xf>
    <xf numFmtId="166" fontId="10" fillId="0" borderId="2" xfId="8" applyNumberFormat="1" applyFont="1" applyFill="1" applyBorder="1" applyAlignment="1" applyProtection="1">
      <alignment horizontal="center" vertical="center" wrapText="1"/>
      <protection locked="0"/>
    </xf>
    <xf numFmtId="166" fontId="10" fillId="0" borderId="4" xfId="8" applyNumberFormat="1" applyFont="1" applyFill="1" applyBorder="1" applyAlignment="1" applyProtection="1">
      <alignment horizontal="center" vertical="center" wrapText="1"/>
      <protection locked="0"/>
    </xf>
    <xf numFmtId="49" fontId="10" fillId="0" borderId="2" xfId="8" applyNumberFormat="1" applyFont="1" applyFill="1" applyBorder="1" applyAlignment="1" applyProtection="1">
      <alignment horizontal="center" vertical="center" wrapText="1"/>
    </xf>
    <xf numFmtId="0" fontId="10" fillId="0" borderId="4" xfId="8" applyFont="1" applyFill="1" applyBorder="1" applyAlignment="1" applyProtection="1">
      <alignment horizontal="center" vertical="center"/>
    </xf>
    <xf numFmtId="0" fontId="10" fillId="0" borderId="3" xfId="8" applyFont="1" applyFill="1" applyBorder="1" applyAlignment="1" applyProtection="1">
      <alignment vertical="center"/>
    </xf>
    <xf numFmtId="0" fontId="10" fillId="0" borderId="4" xfId="8" applyFont="1" applyFill="1" applyBorder="1" applyAlignment="1" applyProtection="1">
      <alignment vertical="center"/>
    </xf>
    <xf numFmtId="0" fontId="10" fillId="0" borderId="2" xfId="8" applyFont="1" applyFill="1" applyBorder="1" applyAlignment="1" applyProtection="1">
      <alignment horizontal="justify" vertical="center" wrapText="1"/>
      <protection locked="0"/>
    </xf>
    <xf numFmtId="0" fontId="10" fillId="0" borderId="4" xfId="8" applyFont="1" applyFill="1" applyBorder="1" applyAlignment="1" applyProtection="1">
      <alignment vertical="center" wrapText="1"/>
      <protection locked="0"/>
    </xf>
    <xf numFmtId="166" fontId="10" fillId="0" borderId="2" xfId="8" applyNumberFormat="1" applyFont="1" applyFill="1" applyBorder="1" applyAlignment="1" applyProtection="1">
      <alignment horizontal="right" vertical="center" wrapText="1"/>
      <protection locked="0"/>
    </xf>
    <xf numFmtId="166" fontId="10" fillId="0" borderId="4" xfId="8" applyNumberFormat="1" applyFont="1" applyFill="1" applyBorder="1" applyAlignment="1" applyProtection="1">
      <alignment horizontal="right" vertical="center"/>
      <protection locked="0"/>
    </xf>
    <xf numFmtId="0" fontId="10" fillId="0" borderId="1" xfId="8" applyFont="1" applyFill="1" applyBorder="1" applyAlignment="1" applyProtection="1">
      <alignment horizontal="justify" vertical="center" wrapText="1"/>
    </xf>
    <xf numFmtId="14" fontId="10" fillId="0" borderId="2" xfId="8" applyNumberFormat="1" applyFont="1" applyFill="1" applyBorder="1" applyAlignment="1" applyProtection="1">
      <alignment horizontal="right" vertical="top" wrapText="1"/>
    </xf>
    <xf numFmtId="0" fontId="10" fillId="0" borderId="4" xfId="8" applyFont="1" applyFill="1" applyBorder="1" applyAlignment="1" applyProtection="1">
      <alignment horizontal="right"/>
    </xf>
    <xf numFmtId="0" fontId="10" fillId="0" borderId="1" xfId="8" applyFont="1" applyBorder="1" applyAlignment="1" applyProtection="1">
      <alignment vertical="center"/>
    </xf>
    <xf numFmtId="49" fontId="10" fillId="0" borderId="1" xfId="8" applyNumberFormat="1" applyFont="1" applyFill="1" applyBorder="1" applyAlignment="1" applyProtection="1">
      <alignment horizontal="center" vertical="center" wrapText="1"/>
    </xf>
    <xf numFmtId="14" fontId="10" fillId="0" borderId="1" xfId="8" applyNumberFormat="1" applyFont="1" applyFill="1" applyBorder="1" applyAlignment="1" applyProtection="1">
      <alignment horizontal="center" vertical="center"/>
    </xf>
    <xf numFmtId="17" fontId="10" fillId="0" borderId="1" xfId="8" applyNumberFormat="1" applyFont="1" applyFill="1" applyBorder="1" applyAlignment="1" applyProtection="1">
      <alignment horizontal="center" vertical="center" wrapText="1"/>
    </xf>
    <xf numFmtId="0" fontId="10" fillId="0" borderId="1" xfId="8" applyFont="1" applyFill="1" applyBorder="1" applyAlignment="1" applyProtection="1">
      <alignment horizontal="center" vertical="center"/>
    </xf>
    <xf numFmtId="0" fontId="10" fillId="0" borderId="1" xfId="8" applyFont="1" applyFill="1" applyBorder="1" applyAlignment="1" applyProtection="1">
      <alignment horizontal="center" vertical="center" wrapText="1"/>
    </xf>
    <xf numFmtId="17" fontId="10" fillId="0" borderId="2" xfId="8" applyNumberFormat="1" applyFont="1" applyFill="1" applyBorder="1" applyAlignment="1" applyProtection="1">
      <alignment horizontal="center" vertical="top" wrapText="1"/>
    </xf>
    <xf numFmtId="0" fontId="10" fillId="0" borderId="4" xfId="8" applyFont="1" applyFill="1" applyBorder="1" applyAlignment="1" applyProtection="1">
      <alignment horizontal="center"/>
    </xf>
    <xf numFmtId="0" fontId="7" fillId="0" borderId="0" xfId="8" applyFont="1" applyAlignment="1" applyProtection="1">
      <alignment horizontal="left" wrapText="1"/>
      <protection locked="0"/>
    </xf>
    <xf numFmtId="0" fontId="10" fillId="0" borderId="2" xfId="8" applyFont="1" applyFill="1" applyBorder="1" applyAlignment="1" applyProtection="1">
      <alignment horizontal="center" vertical="top" wrapText="1"/>
    </xf>
    <xf numFmtId="0" fontId="32" fillId="0" borderId="12" xfId="0" applyFont="1" applyBorder="1" applyAlignment="1">
      <alignment horizontal="center"/>
    </xf>
    <xf numFmtId="0" fontId="32" fillId="0" borderId="13" xfId="0" applyFont="1" applyBorder="1" applyAlignment="1">
      <alignment horizontal="center"/>
    </xf>
    <xf numFmtId="0" fontId="32" fillId="0" borderId="14" xfId="0" applyFont="1" applyBorder="1" applyAlignment="1">
      <alignment horizontal="center"/>
    </xf>
    <xf numFmtId="0" fontId="32" fillId="0" borderId="15" xfId="0" applyFont="1" applyBorder="1" applyAlignment="1">
      <alignment horizontal="center"/>
    </xf>
    <xf numFmtId="0" fontId="32" fillId="0" borderId="16" xfId="0" applyFont="1" applyBorder="1" applyAlignment="1">
      <alignment horizontal="center"/>
    </xf>
    <xf numFmtId="0" fontId="32" fillId="0" borderId="18" xfId="0" applyFont="1" applyBorder="1" applyAlignment="1">
      <alignment horizontal="center"/>
    </xf>
    <xf numFmtId="0" fontId="32" fillId="0" borderId="19" xfId="0" applyFont="1" applyBorder="1" applyAlignment="1">
      <alignment horizontal="center"/>
    </xf>
    <xf numFmtId="164" fontId="32" fillId="0" borderId="20" xfId="11" applyFont="1" applyBorder="1" applyAlignment="1">
      <alignment horizontal="center"/>
    </xf>
    <xf numFmtId="164" fontId="32" fillId="0" borderId="22" xfId="11" applyFont="1" applyBorder="1" applyAlignment="1">
      <alignment horizontal="center"/>
    </xf>
    <xf numFmtId="43" fontId="32" fillId="0" borderId="20" xfId="11" applyNumberFormat="1" applyFont="1" applyBorder="1" applyAlignment="1">
      <alignment horizontal="center"/>
    </xf>
    <xf numFmtId="0" fontId="32" fillId="0" borderId="22" xfId="11" applyNumberFormat="1" applyFont="1" applyBorder="1" applyAlignment="1">
      <alignment horizontal="center"/>
    </xf>
    <xf numFmtId="164" fontId="6" fillId="0" borderId="0" xfId="11" applyFont="1" applyFill="1" applyProtection="1">
      <protection locked="0"/>
    </xf>
  </cellXfs>
  <cellStyles count="15">
    <cellStyle name="Euro" xfId="1"/>
    <cellStyle name="Excel Built-in Normal" xfId="2"/>
    <cellStyle name="Moeda" xfId="3" builtinId="4"/>
    <cellStyle name="Moeda 2" xfId="4"/>
    <cellStyle name="Moeda 3" xfId="5"/>
    <cellStyle name="Moeda 4" xfId="6"/>
    <cellStyle name="Normal" xfId="0" builtinId="0"/>
    <cellStyle name="Normal 2" xfId="7"/>
    <cellStyle name="Normal 2_Planilha de Custos e Formacao de Precos Final" xfId="8"/>
    <cellStyle name="Normal 3" xfId="9"/>
    <cellStyle name="Porcentagem" xfId="10" builtinId="5"/>
    <cellStyle name="Separador de milhares 2" xfId="12"/>
    <cellStyle name="Separador de milhares_Planilha de Custos e Formacao de Precos Final" xfId="13"/>
    <cellStyle name="Vírgula" xfId="11" builtinId="3"/>
    <cellStyle name="Vírgula 2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0</xdr:row>
      <xdr:rowOff>95249</xdr:rowOff>
    </xdr:from>
    <xdr:to>
      <xdr:col>0</xdr:col>
      <xdr:colOff>1343025</xdr:colOff>
      <xdr:row>7</xdr:row>
      <xdr:rowOff>57150</xdr:rowOff>
    </xdr:to>
    <xdr:pic>
      <xdr:nvPicPr>
        <xdr:cNvPr id="2" name="Imagem 1" descr="C:\Users\flavio\Desktop\Logo Eco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49"/>
          <a:ext cx="1200150" cy="12954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0</xdr:row>
      <xdr:rowOff>47625</xdr:rowOff>
    </xdr:from>
    <xdr:to>
      <xdr:col>0</xdr:col>
      <xdr:colOff>1390650</xdr:colOff>
      <xdr:row>6</xdr:row>
      <xdr:rowOff>66675</xdr:rowOff>
    </xdr:to>
    <xdr:pic>
      <xdr:nvPicPr>
        <xdr:cNvPr id="2" name="Imagem 1" descr="C:\Users\flavio\Desktop\Logo Eco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" y="47625"/>
          <a:ext cx="1200150" cy="1171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ADEMAR~1\AppData\Local\Temp\Planilha%20de%20Custos%20e%20Formacao%20de%20Precos%20Fin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ções Gerais Preench"/>
      <sheetName val="Matriz"/>
      <sheetName val="Gerente de Projetos"/>
      <sheetName val="Analista de Negócio"/>
      <sheetName val="Arquiteto Java"/>
      <sheetName val="Arquiteto PHP"/>
      <sheetName val="Programador Java"/>
      <sheetName val="Programador PHP"/>
      <sheetName val="Analista de Qualidade_Testes"/>
      <sheetName val="Designer Gráfico"/>
      <sheetName val="DBA"/>
      <sheetName val="Documentador"/>
      <sheetName val="Custo Perfil e Carga Horária"/>
      <sheetName val="PHP"/>
      <sheetName val="Visão Geral"/>
      <sheetName val="TBL_REF"/>
      <sheetName val="INTERN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12">
          <cell r="C12">
            <v>8.3299999999999999E-2</v>
          </cell>
        </row>
        <row r="26">
          <cell r="C26">
            <v>8.3299999999999999E-2</v>
          </cell>
        </row>
      </sheetData>
      <sheetData sheetId="16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H15"/>
  <sheetViews>
    <sheetView tabSelected="1" topLeftCell="A10" workbookViewId="0">
      <selection activeCell="G13" sqref="G13"/>
    </sheetView>
  </sheetViews>
  <sheetFormatPr defaultColWidth="8.7109375" defaultRowHeight="15" x14ac:dyDescent="0.25"/>
  <cols>
    <col min="1" max="1" width="38.85546875" style="95" customWidth="1"/>
    <col min="2" max="2" width="12.85546875" style="95" customWidth="1"/>
    <col min="3" max="3" width="13.5703125" style="95" customWidth="1"/>
    <col min="4" max="4" width="10.5703125" style="95" bestFit="1" customWidth="1"/>
    <col min="5" max="6" width="11.42578125" style="95" customWidth="1"/>
    <col min="7" max="7" width="16.140625" style="95" customWidth="1"/>
    <col min="8" max="8" width="17.28515625" style="95" customWidth="1"/>
    <col min="9" max="16384" width="8.7109375" style="95"/>
  </cols>
  <sheetData>
    <row r="8" spans="1:8" x14ac:dyDescent="0.25">
      <c r="A8" s="153"/>
      <c r="B8" s="153"/>
      <c r="C8" s="153"/>
      <c r="D8" s="94"/>
      <c r="E8" s="94"/>
      <c r="F8" s="94"/>
      <c r="G8" s="94"/>
      <c r="H8" s="94"/>
    </row>
    <row r="9" spans="1:8" ht="15.75" x14ac:dyDescent="0.25">
      <c r="A9" s="154" t="s">
        <v>0</v>
      </c>
      <c r="B9" s="154"/>
      <c r="C9" s="154"/>
      <c r="D9" s="154"/>
      <c r="E9" s="154"/>
      <c r="F9" s="154"/>
      <c r="G9" s="154"/>
      <c r="H9" s="94"/>
    </row>
    <row r="10" spans="1:8" x14ac:dyDescent="0.25">
      <c r="A10" s="155"/>
      <c r="B10" s="155"/>
      <c r="C10" s="155"/>
      <c r="D10" s="152"/>
      <c r="E10" s="152"/>
      <c r="F10" s="152"/>
      <c r="G10" s="152"/>
      <c r="H10" s="94"/>
    </row>
    <row r="11" spans="1:8" ht="38.25" x14ac:dyDescent="0.25">
      <c r="A11" s="96" t="s">
        <v>1</v>
      </c>
      <c r="B11" s="96" t="s">
        <v>2</v>
      </c>
      <c r="C11" s="96" t="s">
        <v>3</v>
      </c>
      <c r="D11" s="96" t="s">
        <v>4</v>
      </c>
      <c r="E11" s="96" t="s">
        <v>5</v>
      </c>
      <c r="F11" s="96" t="s">
        <v>6</v>
      </c>
      <c r="G11" s="96" t="s">
        <v>7</v>
      </c>
      <c r="H11" s="94"/>
    </row>
    <row r="12" spans="1:8" x14ac:dyDescent="0.25">
      <c r="A12" s="97" t="s">
        <v>179</v>
      </c>
      <c r="B12" s="144">
        <f>'VIG ELET DIURNO'!C21</f>
        <v>1020</v>
      </c>
      <c r="C12" s="144">
        <f>'VIG ELET DIURNO'!D138</f>
        <v>3208.3333168295417</v>
      </c>
      <c r="D12" s="145">
        <v>4</v>
      </c>
      <c r="E12" s="144">
        <f>C12*D12</f>
        <v>12833.333267318167</v>
      </c>
      <c r="F12" s="145">
        <v>12</v>
      </c>
      <c r="G12" s="144">
        <f>E12*F12</f>
        <v>153999.99920781801</v>
      </c>
      <c r="H12" s="149">
        <v>159170.4</v>
      </c>
    </row>
    <row r="13" spans="1:8" x14ac:dyDescent="0.25">
      <c r="A13" s="97" t="s">
        <v>180</v>
      </c>
      <c r="B13" s="143">
        <f>'VIG ELET NOTURNO'!C21</f>
        <v>1020</v>
      </c>
      <c r="C13" s="98">
        <f>'VIG ELET NOTURNO'!D138</f>
        <v>4020.7292382417572</v>
      </c>
      <c r="D13" s="146">
        <v>4</v>
      </c>
      <c r="E13" s="98">
        <f t="shared" ref="E13" si="0">C13*D13</f>
        <v>16082.916952967029</v>
      </c>
      <c r="F13" s="147">
        <v>12</v>
      </c>
      <c r="G13" s="98">
        <f t="shared" ref="G13" si="1">E13*F13</f>
        <v>192995.00343560433</v>
      </c>
      <c r="H13" s="149">
        <v>210362.88</v>
      </c>
    </row>
    <row r="14" spans="1:8" x14ac:dyDescent="0.25">
      <c r="A14" s="156" t="s">
        <v>8</v>
      </c>
      <c r="B14" s="157"/>
      <c r="C14" s="157"/>
      <c r="D14" s="157"/>
      <c r="E14" s="157"/>
      <c r="F14" s="158"/>
      <c r="G14" s="148">
        <f>SUM(G12:G13)</f>
        <v>346995.00264342234</v>
      </c>
      <c r="H14" s="150">
        <f>SUM(H12:H13)</f>
        <v>369533.28</v>
      </c>
    </row>
    <row r="15" spans="1:8" ht="21.75" customHeight="1" x14ac:dyDescent="0.25">
      <c r="A15" s="152"/>
      <c r="B15" s="152"/>
      <c r="C15" s="152"/>
      <c r="D15" s="94"/>
      <c r="E15" s="94"/>
      <c r="F15" s="94"/>
      <c r="G15" s="94"/>
      <c r="H15" s="151">
        <f>H14/G14</f>
        <v>1.0649527433677146</v>
      </c>
    </row>
  </sheetData>
  <mergeCells count="6">
    <mergeCell ref="A15:C15"/>
    <mergeCell ref="A8:C8"/>
    <mergeCell ref="A9:G9"/>
    <mergeCell ref="A10:C10"/>
    <mergeCell ref="D10:G10"/>
    <mergeCell ref="A14:F14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7"/>
  <sheetViews>
    <sheetView showGridLines="0" topLeftCell="A121" zoomScale="145" zoomScaleNormal="145" workbookViewId="0">
      <selection activeCell="C129" sqref="C129"/>
    </sheetView>
  </sheetViews>
  <sheetFormatPr defaultRowHeight="15" x14ac:dyDescent="0.25"/>
  <cols>
    <col min="1" max="1" width="5.42578125" style="55" customWidth="1"/>
    <col min="2" max="2" width="55.140625" style="55" customWidth="1"/>
    <col min="3" max="3" width="14.42578125" style="55" customWidth="1"/>
    <col min="4" max="4" width="11.28515625" style="55" customWidth="1"/>
    <col min="5" max="5" width="14.28515625" style="55" customWidth="1"/>
    <col min="6" max="6" width="13.7109375" style="55" customWidth="1"/>
    <col min="7" max="7" width="15.28515625" style="55" customWidth="1"/>
    <col min="8" max="16384" width="9.140625" style="55"/>
  </cols>
  <sheetData>
    <row r="1" spans="1:5" s="1" customFormat="1" ht="11.25" hidden="1" x14ac:dyDescent="0.2">
      <c r="D1" s="1" t="s">
        <v>9</v>
      </c>
    </row>
    <row r="2" spans="1:5" s="2" customFormat="1" ht="12" x14ac:dyDescent="0.2">
      <c r="A2" s="202" t="s">
        <v>10</v>
      </c>
      <c r="B2" s="202"/>
      <c r="C2" s="202"/>
      <c r="D2" s="202"/>
    </row>
    <row r="3" spans="1:5" s="2" customFormat="1" ht="12" x14ac:dyDescent="0.2">
      <c r="A3" s="202" t="s">
        <v>144</v>
      </c>
      <c r="B3" s="202"/>
      <c r="C3" s="202"/>
      <c r="D3" s="202"/>
    </row>
    <row r="4" spans="1:5" s="2" customFormat="1" ht="12" x14ac:dyDescent="0.2">
      <c r="A4" s="202" t="s">
        <v>145</v>
      </c>
      <c r="B4" s="202"/>
      <c r="C4" s="202"/>
      <c r="D4" s="202"/>
    </row>
    <row r="5" spans="1:5" s="1" customFormat="1" ht="11.25" hidden="1" x14ac:dyDescent="0.2">
      <c r="A5" s="3"/>
      <c r="B5" s="3"/>
      <c r="C5" s="3"/>
      <c r="D5" s="3"/>
    </row>
    <row r="6" spans="1:5" s="1" customFormat="1" ht="11.25" hidden="1" x14ac:dyDescent="0.2">
      <c r="A6" s="3"/>
      <c r="B6" s="3"/>
      <c r="C6" s="3"/>
      <c r="D6" s="3"/>
    </row>
    <row r="7" spans="1:5" s="4" customFormat="1" x14ac:dyDescent="0.25">
      <c r="A7" s="191" t="s">
        <v>11</v>
      </c>
      <c r="B7" s="191"/>
      <c r="C7" s="203" t="s">
        <v>143</v>
      </c>
      <c r="D7" s="201"/>
      <c r="E7"/>
    </row>
    <row r="8" spans="1:5" s="4" customFormat="1" ht="11.25" x14ac:dyDescent="0.2">
      <c r="A8" s="191" t="s">
        <v>12</v>
      </c>
      <c r="B8" s="191"/>
      <c r="C8" s="200" t="s">
        <v>142</v>
      </c>
      <c r="D8" s="201"/>
    </row>
    <row r="9" spans="1:5" s="4" customFormat="1" ht="11.25" x14ac:dyDescent="0.2">
      <c r="A9" s="191" t="s">
        <v>13</v>
      </c>
      <c r="B9" s="191"/>
      <c r="C9" s="192"/>
      <c r="D9" s="193"/>
    </row>
    <row r="10" spans="1:5" s="4" customFormat="1" ht="11.25" x14ac:dyDescent="0.2">
      <c r="A10" s="191"/>
      <c r="B10" s="194"/>
      <c r="C10" s="194"/>
      <c r="D10" s="194"/>
    </row>
    <row r="11" spans="1:5" s="4" customFormat="1" ht="11.25" x14ac:dyDescent="0.2">
      <c r="A11" s="14" t="s">
        <v>14</v>
      </c>
      <c r="B11" s="107" t="s">
        <v>15</v>
      </c>
      <c r="C11" s="195" t="s">
        <v>132</v>
      </c>
      <c r="D11" s="196"/>
      <c r="E11" s="5"/>
    </row>
    <row r="12" spans="1:5" s="4" customFormat="1" ht="11.25" x14ac:dyDescent="0.2">
      <c r="A12" s="14" t="s">
        <v>16</v>
      </c>
      <c r="B12" s="107" t="s">
        <v>17</v>
      </c>
      <c r="C12" s="197" t="s">
        <v>133</v>
      </c>
      <c r="D12" s="198"/>
    </row>
    <row r="13" spans="1:5" s="4" customFormat="1" ht="11.25" x14ac:dyDescent="0.2">
      <c r="A13" s="14" t="s">
        <v>18</v>
      </c>
      <c r="B13" s="107" t="s">
        <v>19</v>
      </c>
      <c r="C13" s="197" t="s">
        <v>134</v>
      </c>
      <c r="D13" s="199"/>
    </row>
    <row r="14" spans="1:5" s="4" customFormat="1" ht="19.5" customHeight="1" x14ac:dyDescent="0.2">
      <c r="A14" s="14" t="s">
        <v>20</v>
      </c>
      <c r="B14" s="107" t="s">
        <v>21</v>
      </c>
      <c r="C14" s="181" t="s">
        <v>136</v>
      </c>
      <c r="D14" s="182"/>
    </row>
    <row r="15" spans="1:5" s="4" customFormat="1" ht="11.25" x14ac:dyDescent="0.2">
      <c r="A15" s="14" t="s">
        <v>22</v>
      </c>
      <c r="B15" s="107" t="s">
        <v>23</v>
      </c>
      <c r="C15" s="197" t="s">
        <v>24</v>
      </c>
      <c r="D15" s="198"/>
    </row>
    <row r="16" spans="1:5" s="4" customFormat="1" ht="11.25" x14ac:dyDescent="0.2">
      <c r="A16" s="14" t="s">
        <v>25</v>
      </c>
      <c r="B16" s="107" t="s">
        <v>26</v>
      </c>
      <c r="C16" s="199">
        <v>2</v>
      </c>
      <c r="D16" s="198"/>
    </row>
    <row r="17" spans="1:5" s="4" customFormat="1" ht="11.25" x14ac:dyDescent="0.2">
      <c r="A17" s="14" t="s">
        <v>27</v>
      </c>
      <c r="B17" s="107" t="s">
        <v>28</v>
      </c>
      <c r="C17" s="199">
        <v>12</v>
      </c>
      <c r="D17" s="198"/>
    </row>
    <row r="18" spans="1:5" s="4" customFormat="1" ht="11.25" x14ac:dyDescent="0.2">
      <c r="A18" s="6"/>
      <c r="B18" s="25"/>
      <c r="C18" s="122"/>
      <c r="D18" s="123"/>
    </row>
    <row r="19" spans="1:5" s="4" customFormat="1" ht="11.25" hidden="1" x14ac:dyDescent="0.2">
      <c r="A19" s="6"/>
      <c r="B19" s="7"/>
      <c r="C19" s="8"/>
      <c r="D19" s="9"/>
    </row>
    <row r="20" spans="1:5" s="4" customFormat="1" ht="11.25" x14ac:dyDescent="0.2">
      <c r="A20" s="14">
        <v>1</v>
      </c>
      <c r="B20" s="107" t="s">
        <v>29</v>
      </c>
      <c r="C20" s="181" t="s">
        <v>137</v>
      </c>
      <c r="D20" s="182"/>
    </row>
    <row r="21" spans="1:5" s="4" customFormat="1" ht="11.25" x14ac:dyDescent="0.2">
      <c r="A21" s="14">
        <v>2</v>
      </c>
      <c r="B21" s="107" t="s">
        <v>30</v>
      </c>
      <c r="C21" s="189">
        <v>1020</v>
      </c>
      <c r="D21" s="190"/>
    </row>
    <row r="22" spans="1:5" s="4" customFormat="1" ht="22.15" customHeight="1" x14ac:dyDescent="0.2">
      <c r="A22" s="14">
        <v>3</v>
      </c>
      <c r="B22" s="107" t="s">
        <v>31</v>
      </c>
      <c r="C22" s="181" t="s">
        <v>138</v>
      </c>
      <c r="D22" s="182"/>
    </row>
    <row r="23" spans="1:5" s="4" customFormat="1" ht="11.25" x14ac:dyDescent="0.2">
      <c r="A23" s="14">
        <v>4</v>
      </c>
      <c r="B23" s="107" t="s">
        <v>32</v>
      </c>
      <c r="C23" s="183" t="s">
        <v>135</v>
      </c>
      <c r="D23" s="184"/>
    </row>
    <row r="24" spans="1:5" s="10" customFormat="1" ht="11.25" x14ac:dyDescent="0.2">
      <c r="A24" s="56"/>
      <c r="B24" s="57"/>
      <c r="C24" s="58"/>
      <c r="D24" s="59"/>
    </row>
    <row r="25" spans="1:5" s="10" customFormat="1" ht="11.25" hidden="1" x14ac:dyDescent="0.2">
      <c r="A25" s="56"/>
      <c r="B25" s="57"/>
      <c r="C25" s="58"/>
      <c r="D25" s="59"/>
    </row>
    <row r="26" spans="1:5" s="4" customFormat="1" ht="11.25" x14ac:dyDescent="0.2">
      <c r="A26" s="167" t="s">
        <v>33</v>
      </c>
      <c r="B26" s="185"/>
      <c r="C26" s="185"/>
      <c r="D26" s="186"/>
    </row>
    <row r="27" spans="1:5" s="4" customFormat="1" ht="11.25" x14ac:dyDescent="0.2">
      <c r="A27" s="14">
        <v>1</v>
      </c>
      <c r="B27" s="14" t="s">
        <v>34</v>
      </c>
      <c r="C27" s="172"/>
      <c r="D27" s="173"/>
    </row>
    <row r="28" spans="1:5" s="4" customFormat="1" ht="11.25" x14ac:dyDescent="0.2">
      <c r="A28" s="11"/>
      <c r="B28" s="12" t="s">
        <v>35</v>
      </c>
      <c r="C28" s="13"/>
      <c r="D28" s="60">
        <f>C21</f>
        <v>1020</v>
      </c>
      <c r="E28" s="4">
        <f>15*16</f>
        <v>240</v>
      </c>
    </row>
    <row r="29" spans="1:5" s="4" customFormat="1" ht="11.25" x14ac:dyDescent="0.2">
      <c r="A29" s="14"/>
      <c r="B29" s="14"/>
      <c r="C29" s="15" t="s">
        <v>36</v>
      </c>
      <c r="D29" s="15"/>
      <c r="E29" s="4">
        <f>E28*5%</f>
        <v>12</v>
      </c>
    </row>
    <row r="30" spans="1:5" s="4" customFormat="1" ht="11.25" x14ac:dyDescent="0.2">
      <c r="A30" s="11"/>
      <c r="B30" s="102" t="s">
        <v>37</v>
      </c>
      <c r="C30" s="16">
        <v>0</v>
      </c>
      <c r="D30" s="17">
        <v>0</v>
      </c>
    </row>
    <row r="31" spans="1:5" s="4" customFormat="1" ht="11.25" x14ac:dyDescent="0.2">
      <c r="A31" s="11"/>
      <c r="B31" s="102" t="s">
        <v>38</v>
      </c>
      <c r="C31" s="16">
        <v>0</v>
      </c>
      <c r="D31" s="17">
        <v>0</v>
      </c>
    </row>
    <row r="32" spans="1:5" s="4" customFormat="1" ht="11.25" x14ac:dyDescent="0.2">
      <c r="A32" s="11"/>
      <c r="B32" s="102" t="s">
        <v>146</v>
      </c>
      <c r="C32" s="16">
        <v>0</v>
      </c>
      <c r="D32" s="17">
        <f>(C21/192)*1.5*16</f>
        <v>127.5</v>
      </c>
      <c r="E32" s="4">
        <f>C21/192</f>
        <v>5.3125</v>
      </c>
    </row>
    <row r="33" spans="1:5" s="4" customFormat="1" ht="11.25" x14ac:dyDescent="0.2">
      <c r="A33" s="11"/>
      <c r="B33" s="102" t="s">
        <v>147</v>
      </c>
      <c r="C33" s="16">
        <v>0</v>
      </c>
      <c r="D33" s="17">
        <f>(D32/25)*5</f>
        <v>25.5</v>
      </c>
      <c r="E33" s="4">
        <f>E32*1.5</f>
        <v>7.96875</v>
      </c>
    </row>
    <row r="34" spans="1:5" s="4" customFormat="1" ht="11.25" x14ac:dyDescent="0.2">
      <c r="A34" s="11"/>
      <c r="B34" s="102" t="s">
        <v>148</v>
      </c>
      <c r="C34" s="16">
        <v>0</v>
      </c>
      <c r="D34" s="17">
        <v>152.03</v>
      </c>
      <c r="E34" s="4">
        <f>5.31*2*12</f>
        <v>127.44</v>
      </c>
    </row>
    <row r="35" spans="1:5" s="4" customFormat="1" ht="11.25" x14ac:dyDescent="0.2">
      <c r="A35" s="11"/>
      <c r="B35" s="102" t="s">
        <v>39</v>
      </c>
      <c r="C35" s="16">
        <v>0</v>
      </c>
      <c r="D35" s="17">
        <f>$D$28*C35</f>
        <v>0</v>
      </c>
      <c r="E35" s="4">
        <f>E34*15</f>
        <v>1911.6</v>
      </c>
    </row>
    <row r="36" spans="1:5" s="4" customFormat="1" ht="11.25" x14ac:dyDescent="0.2">
      <c r="A36" s="11"/>
      <c r="B36" s="102" t="s">
        <v>40</v>
      </c>
      <c r="C36" s="16">
        <v>0</v>
      </c>
      <c r="D36" s="17">
        <f>$D$28*C36</f>
        <v>0</v>
      </c>
      <c r="E36" s="4">
        <v>152.03</v>
      </c>
    </row>
    <row r="37" spans="1:5" s="4" customFormat="1" ht="11.25" x14ac:dyDescent="0.2">
      <c r="A37" s="167" t="s">
        <v>41</v>
      </c>
      <c r="B37" s="176"/>
      <c r="C37" s="22">
        <f>SUM(C30:C36)</f>
        <v>0</v>
      </c>
      <c r="D37" s="23">
        <f>D28+SUM(D30:D36)</f>
        <v>1325.03</v>
      </c>
    </row>
    <row r="38" spans="1:5" s="10" customFormat="1" ht="11.25" x14ac:dyDescent="0.2">
      <c r="A38" s="105"/>
      <c r="B38" s="25"/>
      <c r="C38" s="26"/>
      <c r="D38" s="27"/>
    </row>
    <row r="39" spans="1:5" s="10" customFormat="1" ht="11.25" hidden="1" x14ac:dyDescent="0.2">
      <c r="A39" s="105"/>
      <c r="B39" s="25"/>
      <c r="C39" s="26"/>
      <c r="D39" s="27">
        <v>9</v>
      </c>
    </row>
    <row r="40" spans="1:5" s="4" customFormat="1" ht="11.25" x14ac:dyDescent="0.2">
      <c r="A40" s="167" t="s">
        <v>42</v>
      </c>
      <c r="B40" s="185"/>
      <c r="C40" s="185"/>
      <c r="D40" s="186"/>
      <c r="E40" s="4">
        <f>15*15</f>
        <v>225</v>
      </c>
    </row>
    <row r="41" spans="1:5" s="4" customFormat="1" ht="11.25" x14ac:dyDescent="0.2">
      <c r="A41" s="14">
        <v>2</v>
      </c>
      <c r="B41" s="14" t="s">
        <v>43</v>
      </c>
      <c r="C41" s="14" t="s">
        <v>36</v>
      </c>
      <c r="D41" s="14"/>
    </row>
    <row r="42" spans="1:5" s="4" customFormat="1" ht="15.75" customHeight="1" x14ac:dyDescent="0.2">
      <c r="A42" s="11"/>
      <c r="B42" s="102" t="s">
        <v>139</v>
      </c>
      <c r="C42" s="50"/>
      <c r="D42" s="17">
        <f>(3.8*2*16)-(0.06*C21)</f>
        <v>60.4</v>
      </c>
      <c r="E42" s="28"/>
    </row>
    <row r="43" spans="1:5" s="4" customFormat="1" ht="15.75" customHeight="1" x14ac:dyDescent="0.2">
      <c r="A43" s="11"/>
      <c r="B43" s="102" t="s">
        <v>149</v>
      </c>
      <c r="C43" s="50"/>
      <c r="D43" s="17">
        <f>(15*16)-(1)</f>
        <v>239</v>
      </c>
      <c r="E43" s="28"/>
    </row>
    <row r="44" spans="1:5" s="4" customFormat="1" ht="11.25" x14ac:dyDescent="0.2">
      <c r="A44" s="11"/>
      <c r="B44" s="102" t="s">
        <v>44</v>
      </c>
      <c r="C44" s="50"/>
      <c r="D44" s="17">
        <v>0</v>
      </c>
    </row>
    <row r="45" spans="1:5" s="4" customFormat="1" ht="11.25" x14ac:dyDescent="0.2">
      <c r="A45" s="11"/>
      <c r="B45" s="102" t="s">
        <v>45</v>
      </c>
      <c r="C45" s="50"/>
      <c r="D45" s="17">
        <v>12</v>
      </c>
    </row>
    <row r="46" spans="1:5" s="4" customFormat="1" ht="11.25" x14ac:dyDescent="0.2">
      <c r="A46" s="11"/>
      <c r="B46" s="102" t="s">
        <v>141</v>
      </c>
      <c r="C46" s="50"/>
      <c r="D46" s="17">
        <v>70</v>
      </c>
    </row>
    <row r="47" spans="1:5" s="4" customFormat="1" ht="11.25" x14ac:dyDescent="0.2">
      <c r="A47" s="11"/>
      <c r="B47" s="102" t="s">
        <v>40</v>
      </c>
      <c r="C47" s="16"/>
      <c r="D47" s="17">
        <v>0</v>
      </c>
    </row>
    <row r="48" spans="1:5" s="4" customFormat="1" ht="11.25" x14ac:dyDescent="0.2">
      <c r="A48" s="187" t="s">
        <v>46</v>
      </c>
      <c r="B48" s="188"/>
      <c r="C48" s="20"/>
      <c r="D48" s="21">
        <f>SUM(D42:D47)</f>
        <v>381.4</v>
      </c>
    </row>
    <row r="49" spans="1:4" s="10" customFormat="1" ht="11.25" x14ac:dyDescent="0.2">
      <c r="A49" s="105"/>
      <c r="B49" s="25"/>
      <c r="C49" s="26"/>
      <c r="D49" s="27"/>
    </row>
    <row r="50" spans="1:4" s="10" customFormat="1" ht="11.25" hidden="1" x14ac:dyDescent="0.2">
      <c r="A50" s="105"/>
      <c r="B50" s="25"/>
      <c r="C50" s="26"/>
      <c r="D50" s="27"/>
    </row>
    <row r="51" spans="1:4" s="4" customFormat="1" ht="11.25" x14ac:dyDescent="0.2">
      <c r="A51" s="167" t="s">
        <v>47</v>
      </c>
      <c r="B51" s="185"/>
      <c r="C51" s="185"/>
      <c r="D51" s="186"/>
    </row>
    <row r="52" spans="1:4" s="4" customFormat="1" ht="11.25" x14ac:dyDescent="0.2">
      <c r="A52" s="14">
        <v>3</v>
      </c>
      <c r="B52" s="14" t="s">
        <v>48</v>
      </c>
      <c r="C52" s="14" t="s">
        <v>36</v>
      </c>
      <c r="D52" s="14" t="s">
        <v>49</v>
      </c>
    </row>
    <row r="53" spans="1:4" s="4" customFormat="1" ht="11.25" x14ac:dyDescent="0.2">
      <c r="A53" s="18"/>
      <c r="B53" s="19" t="s">
        <v>50</v>
      </c>
      <c r="C53" s="16"/>
      <c r="D53" s="79">
        <f>'UNIF E EPI ELET'!I18</f>
        <v>89.633333333333326</v>
      </c>
    </row>
    <row r="54" spans="1:4" s="4" customFormat="1" ht="11.25" x14ac:dyDescent="0.2">
      <c r="A54" s="18"/>
      <c r="B54" s="19" t="s">
        <v>51</v>
      </c>
      <c r="C54" s="16"/>
      <c r="D54" s="79">
        <v>0</v>
      </c>
    </row>
    <row r="55" spans="1:4" s="4" customFormat="1" ht="11.25" x14ac:dyDescent="0.2">
      <c r="A55" s="18"/>
      <c r="B55" s="19" t="s">
        <v>52</v>
      </c>
      <c r="C55" s="16"/>
      <c r="D55" s="79">
        <f>'UNIF E EPI ELET'!J30</f>
        <v>58</v>
      </c>
    </row>
    <row r="56" spans="1:4" s="4" customFormat="1" ht="11.25" x14ac:dyDescent="0.2">
      <c r="A56" s="18"/>
      <c r="B56" s="4" t="s">
        <v>40</v>
      </c>
      <c r="C56" s="16"/>
      <c r="D56" s="79">
        <f>$D$28*C56</f>
        <v>0</v>
      </c>
    </row>
    <row r="57" spans="1:4" s="4" customFormat="1" ht="11.25" x14ac:dyDescent="0.2">
      <c r="A57" s="167" t="s">
        <v>53</v>
      </c>
      <c r="B57" s="176"/>
      <c r="C57" s="22"/>
      <c r="D57" s="44">
        <f>SUM(D53:D56)</f>
        <v>147.63333333333333</v>
      </c>
    </row>
    <row r="58" spans="1:4" s="4" customFormat="1" ht="11.25" x14ac:dyDescent="0.2">
      <c r="A58" s="105"/>
      <c r="B58" s="106"/>
      <c r="C58" s="20"/>
      <c r="D58" s="21"/>
    </row>
    <row r="59" spans="1:4" s="10" customFormat="1" ht="11.25" hidden="1" x14ac:dyDescent="0.2">
      <c r="A59" s="105"/>
      <c r="B59" s="25"/>
      <c r="C59" s="26"/>
      <c r="D59" s="27"/>
    </row>
    <row r="60" spans="1:4" s="4" customFormat="1" ht="11.25" x14ac:dyDescent="0.2">
      <c r="A60" s="167" t="s">
        <v>54</v>
      </c>
      <c r="B60" s="185"/>
      <c r="C60" s="185"/>
      <c r="D60" s="186"/>
    </row>
    <row r="61" spans="1:4" s="4" customFormat="1" ht="11.25" x14ac:dyDescent="0.2">
      <c r="A61" s="14">
        <v>4</v>
      </c>
      <c r="B61" s="104" t="s">
        <v>55</v>
      </c>
      <c r="C61" s="22"/>
      <c r="D61" s="23"/>
    </row>
    <row r="62" spans="1:4" s="4" customFormat="1" ht="11.25" x14ac:dyDescent="0.2">
      <c r="A62" s="14" t="s">
        <v>56</v>
      </c>
      <c r="B62" s="104" t="s">
        <v>57</v>
      </c>
      <c r="C62" s="22"/>
      <c r="D62" s="23"/>
    </row>
    <row r="63" spans="1:4" s="4" customFormat="1" ht="11.25" x14ac:dyDescent="0.2">
      <c r="A63" s="107"/>
      <c r="B63" s="102" t="s">
        <v>58</v>
      </c>
      <c r="C63" s="50">
        <v>0.2</v>
      </c>
      <c r="D63" s="61">
        <f t="shared" ref="D63:D70" si="0">ROUND(D$37*C63,2)</f>
        <v>265.01</v>
      </c>
    </row>
    <row r="64" spans="1:4" s="4" customFormat="1" ht="11.25" x14ac:dyDescent="0.2">
      <c r="A64" s="11"/>
      <c r="B64" s="12" t="s">
        <v>59</v>
      </c>
      <c r="C64" s="50">
        <v>1.4999999999999999E-2</v>
      </c>
      <c r="D64" s="61">
        <f t="shared" si="0"/>
        <v>19.88</v>
      </c>
    </row>
    <row r="65" spans="1:6" s="4" customFormat="1" ht="11.25" x14ac:dyDescent="0.2">
      <c r="A65" s="11"/>
      <c r="B65" s="12" t="s">
        <v>60</v>
      </c>
      <c r="C65" s="50">
        <v>0.01</v>
      </c>
      <c r="D65" s="61">
        <f t="shared" si="0"/>
        <v>13.25</v>
      </c>
    </row>
    <row r="66" spans="1:6" s="4" customFormat="1" ht="11.25" x14ac:dyDescent="0.2">
      <c r="A66" s="11"/>
      <c r="B66" s="12" t="s">
        <v>61</v>
      </c>
      <c r="C66" s="50">
        <v>2E-3</v>
      </c>
      <c r="D66" s="61">
        <f t="shared" si="0"/>
        <v>2.65</v>
      </c>
    </row>
    <row r="67" spans="1:6" s="4" customFormat="1" ht="11.25" x14ac:dyDescent="0.2">
      <c r="A67" s="11"/>
      <c r="B67" s="12" t="s">
        <v>62</v>
      </c>
      <c r="C67" s="50">
        <v>2.5000000000000001E-2</v>
      </c>
      <c r="D67" s="61">
        <f t="shared" si="0"/>
        <v>33.130000000000003</v>
      </c>
    </row>
    <row r="68" spans="1:6" s="4" customFormat="1" ht="11.25" x14ac:dyDescent="0.2">
      <c r="A68" s="11"/>
      <c r="B68" s="62" t="s">
        <v>63</v>
      </c>
      <c r="C68" s="50">
        <v>0.08</v>
      </c>
      <c r="D68" s="61">
        <f t="shared" si="0"/>
        <v>106</v>
      </c>
    </row>
    <row r="69" spans="1:6" s="4" customFormat="1" ht="11.25" x14ac:dyDescent="0.2">
      <c r="A69" s="11"/>
      <c r="B69" s="12" t="s">
        <v>64</v>
      </c>
      <c r="C69" s="16">
        <v>0.03</v>
      </c>
      <c r="D69" s="61">
        <f t="shared" si="0"/>
        <v>39.75</v>
      </c>
    </row>
    <row r="70" spans="1:6" s="4" customFormat="1" ht="11.25" x14ac:dyDescent="0.2">
      <c r="A70" s="11"/>
      <c r="B70" s="12" t="s">
        <v>65</v>
      </c>
      <c r="C70" s="50">
        <v>6.0000000000000001E-3</v>
      </c>
      <c r="D70" s="61">
        <f t="shared" si="0"/>
        <v>7.95</v>
      </c>
    </row>
    <row r="71" spans="1:6" s="4" customFormat="1" ht="11.25" x14ac:dyDescent="0.2">
      <c r="A71" s="170" t="s">
        <v>66</v>
      </c>
      <c r="B71" s="176"/>
      <c r="C71" s="22">
        <f>SUM(C63:C70)</f>
        <v>0.3680000000000001</v>
      </c>
      <c r="D71" s="23">
        <f>SUM(D63:D70)</f>
        <v>487.61999999999995</v>
      </c>
    </row>
    <row r="72" spans="1:6" s="4" customFormat="1" ht="11.25" x14ac:dyDescent="0.2">
      <c r="A72" s="24"/>
      <c r="B72" s="25"/>
      <c r="C72" s="26"/>
      <c r="D72" s="27"/>
    </row>
    <row r="73" spans="1:6" s="4" customFormat="1" ht="11.25" x14ac:dyDescent="0.2">
      <c r="A73" s="103"/>
      <c r="B73" s="36"/>
      <c r="C73" s="37"/>
      <c r="D73" s="38"/>
    </row>
    <row r="74" spans="1:6" s="4" customFormat="1" ht="11.25" x14ac:dyDescent="0.2">
      <c r="A74" s="14" t="s">
        <v>67</v>
      </c>
      <c r="B74" s="36" t="s">
        <v>68</v>
      </c>
      <c r="C74" s="101"/>
      <c r="D74" s="102"/>
    </row>
    <row r="75" spans="1:6" s="4" customFormat="1" ht="11.25" x14ac:dyDescent="0.2">
      <c r="A75" s="11"/>
      <c r="B75" s="12" t="s">
        <v>69</v>
      </c>
      <c r="C75" s="16">
        <f>[1]TBL_REF!C12</f>
        <v>8.3299999999999999E-2</v>
      </c>
      <c r="D75" s="61">
        <f>ROUND($D$37*C75,2)</f>
        <v>110.37</v>
      </c>
    </row>
    <row r="76" spans="1:6" s="4" customFormat="1" ht="11.25" x14ac:dyDescent="0.2">
      <c r="A76" s="11"/>
      <c r="B76" s="12" t="s">
        <v>70</v>
      </c>
      <c r="C76" s="50">
        <f>C75/3</f>
        <v>2.7766666666666665E-2</v>
      </c>
      <c r="D76" s="61">
        <f>ROUND($D$37*C76,2)</f>
        <v>36.79</v>
      </c>
    </row>
    <row r="77" spans="1:6" s="4" customFormat="1" ht="11.25" x14ac:dyDescent="0.2">
      <c r="A77" s="170" t="s">
        <v>71</v>
      </c>
      <c r="B77" s="176"/>
      <c r="C77" s="22">
        <f>SUM(C75:C76)</f>
        <v>0.11106666666666666</v>
      </c>
      <c r="D77" s="23">
        <f>SUM(D75:D76)</f>
        <v>147.16</v>
      </c>
    </row>
    <row r="78" spans="1:6" s="4" customFormat="1" ht="11.25" x14ac:dyDescent="0.2">
      <c r="A78" s="170" t="s">
        <v>72</v>
      </c>
      <c r="B78" s="176"/>
      <c r="C78" s="22">
        <f>C71*C77</f>
        <v>4.0872533333333343E-2</v>
      </c>
      <c r="D78" s="23">
        <f>ROUND($D$77*C78,2)</f>
        <v>6.01</v>
      </c>
      <c r="F78" s="28"/>
    </row>
    <row r="79" spans="1:6" s="4" customFormat="1" ht="11.25" x14ac:dyDescent="0.2">
      <c r="A79" s="170" t="s">
        <v>73</v>
      </c>
      <c r="B79" s="176"/>
      <c r="C79" s="22">
        <f>C77+C78</f>
        <v>0.1519392</v>
      </c>
      <c r="D79" s="23">
        <f>D77+D78</f>
        <v>153.16999999999999</v>
      </c>
    </row>
    <row r="80" spans="1:6" s="4" customFormat="1" ht="11.25" x14ac:dyDescent="0.2">
      <c r="A80" s="24"/>
      <c r="B80" s="106"/>
      <c r="C80" s="20"/>
      <c r="D80" s="21"/>
    </row>
    <row r="81" spans="1:6" s="4" customFormat="1" ht="11.25" x14ac:dyDescent="0.2">
      <c r="A81" s="103"/>
      <c r="B81" s="36"/>
      <c r="C81" s="37"/>
      <c r="D81" s="38"/>
    </row>
    <row r="82" spans="1:6" s="4" customFormat="1" ht="11.25" x14ac:dyDescent="0.2">
      <c r="A82" s="14" t="s">
        <v>74</v>
      </c>
      <c r="B82" s="36" t="s">
        <v>75</v>
      </c>
      <c r="C82" s="101"/>
      <c r="D82" s="102"/>
    </row>
    <row r="83" spans="1:6" s="4" customFormat="1" ht="11.25" x14ac:dyDescent="0.2">
      <c r="A83" s="11"/>
      <c r="B83" s="12" t="s">
        <v>75</v>
      </c>
      <c r="C83" s="16">
        <v>2.9999999999999997E-4</v>
      </c>
      <c r="D83" s="61">
        <f>ROUND($D$37*C83,2)</f>
        <v>0.4</v>
      </c>
    </row>
    <row r="84" spans="1:6" s="4" customFormat="1" ht="11.25" x14ac:dyDescent="0.2">
      <c r="A84" s="170" t="s">
        <v>71</v>
      </c>
      <c r="B84" s="176"/>
      <c r="C84" s="22">
        <f>SUM(C83:C83)</f>
        <v>2.9999999999999997E-4</v>
      </c>
      <c r="D84" s="23">
        <f>SUM(D83:D83)</f>
        <v>0.4</v>
      </c>
    </row>
    <row r="85" spans="1:6" s="4" customFormat="1" ht="11.25" x14ac:dyDescent="0.2">
      <c r="A85" s="170" t="s">
        <v>76</v>
      </c>
      <c r="B85" s="176"/>
      <c r="C85" s="22">
        <f>C84*C71</f>
        <v>1.1040000000000003E-4</v>
      </c>
      <c r="D85" s="23">
        <f>ROUND($D$84*C85,2)</f>
        <v>0</v>
      </c>
      <c r="F85" s="28"/>
    </row>
    <row r="86" spans="1:6" s="4" customFormat="1" ht="11.25" x14ac:dyDescent="0.2">
      <c r="A86" s="170" t="s">
        <v>77</v>
      </c>
      <c r="B86" s="176"/>
      <c r="C86" s="22">
        <f>C84+C85</f>
        <v>4.104E-4</v>
      </c>
      <c r="D86" s="23">
        <f>D84+D85</f>
        <v>0.4</v>
      </c>
    </row>
    <row r="87" spans="1:6" s="4" customFormat="1" ht="11.25" x14ac:dyDescent="0.2">
      <c r="A87" s="24"/>
      <c r="B87" s="106"/>
      <c r="C87" s="20"/>
      <c r="D87" s="21"/>
    </row>
    <row r="88" spans="1:6" s="4" customFormat="1" ht="11.25" x14ac:dyDescent="0.2">
      <c r="A88" s="63"/>
      <c r="B88" s="64"/>
      <c r="C88" s="65"/>
      <c r="D88" s="66"/>
    </row>
    <row r="89" spans="1:6" s="30" customFormat="1" ht="11.25" x14ac:dyDescent="0.2">
      <c r="A89" s="29" t="s">
        <v>78</v>
      </c>
      <c r="B89" s="67" t="s">
        <v>79</v>
      </c>
      <c r="C89" s="68"/>
      <c r="D89" s="99"/>
    </row>
    <row r="90" spans="1:6" s="30" customFormat="1" ht="11.25" x14ac:dyDescent="0.2">
      <c r="A90" s="31"/>
      <c r="B90" s="69" t="s">
        <v>80</v>
      </c>
      <c r="C90" s="16">
        <v>4.1999999999999997E-3</v>
      </c>
      <c r="D90" s="70">
        <f t="shared" ref="D90:D96" si="1">ROUND($D$37*C90,2)</f>
        <v>5.57</v>
      </c>
    </row>
    <row r="91" spans="1:6" s="30" customFormat="1" ht="11.25" x14ac:dyDescent="0.2">
      <c r="A91" s="31"/>
      <c r="B91" s="45" t="s">
        <v>81</v>
      </c>
      <c r="C91" s="16">
        <f>C68*C90</f>
        <v>3.3599999999999998E-4</v>
      </c>
      <c r="D91" s="70">
        <f>ROUND($D$90*C91,2)</f>
        <v>0</v>
      </c>
    </row>
    <row r="92" spans="1:6" s="30" customFormat="1" ht="11.25" x14ac:dyDescent="0.2">
      <c r="A92" s="31"/>
      <c r="B92" s="45" t="s">
        <v>82</v>
      </c>
      <c r="C92" s="89">
        <v>9.9999999999999995E-7</v>
      </c>
      <c r="D92" s="70">
        <f t="shared" si="1"/>
        <v>0</v>
      </c>
    </row>
    <row r="93" spans="1:6" s="30" customFormat="1" ht="11.25" x14ac:dyDescent="0.2">
      <c r="A93" s="31"/>
      <c r="B93" s="45" t="s">
        <v>83</v>
      </c>
      <c r="C93" s="16">
        <v>1.9400000000000001E-2</v>
      </c>
      <c r="D93" s="70">
        <f t="shared" si="1"/>
        <v>25.71</v>
      </c>
      <c r="E93" s="32"/>
      <c r="F93" s="32"/>
    </row>
    <row r="94" spans="1:6" s="30" customFormat="1" ht="11.25" x14ac:dyDescent="0.2">
      <c r="A94" s="31"/>
      <c r="B94" s="45" t="s">
        <v>84</v>
      </c>
      <c r="C94" s="16">
        <f>C71*C93</f>
        <v>7.1392000000000027E-3</v>
      </c>
      <c r="D94" s="70">
        <f>ROUND($D$93*C94,2)</f>
        <v>0.18</v>
      </c>
    </row>
    <row r="95" spans="1:6" s="30" customFormat="1" ht="11.25" x14ac:dyDescent="0.2">
      <c r="A95" s="31"/>
      <c r="B95" s="45" t="s">
        <v>85</v>
      </c>
      <c r="C95" s="16">
        <v>1E-4</v>
      </c>
      <c r="D95" s="70">
        <f t="shared" si="1"/>
        <v>0.13</v>
      </c>
    </row>
    <row r="96" spans="1:6" s="30" customFormat="1" ht="11.25" x14ac:dyDescent="0.2">
      <c r="A96" s="31"/>
      <c r="B96" s="45" t="s">
        <v>86</v>
      </c>
      <c r="C96" s="16">
        <v>4.36E-2</v>
      </c>
      <c r="D96" s="70">
        <f t="shared" si="1"/>
        <v>57.77</v>
      </c>
    </row>
    <row r="97" spans="1:6" s="30" customFormat="1" ht="11.25" x14ac:dyDescent="0.2">
      <c r="A97" s="177" t="s">
        <v>87</v>
      </c>
      <c r="B97" s="178"/>
      <c r="C97" s="43">
        <f>SUM(C90:C96)</f>
        <v>7.4776200000000001E-2</v>
      </c>
      <c r="D97" s="44">
        <f>SUM(D90:D96)</f>
        <v>89.36</v>
      </c>
    </row>
    <row r="98" spans="1:6" s="4" customFormat="1" ht="11.25" x14ac:dyDescent="0.2">
      <c r="A98" s="24"/>
      <c r="B98" s="106"/>
      <c r="C98" s="20"/>
      <c r="D98" s="21"/>
    </row>
    <row r="99" spans="1:6" s="4" customFormat="1" ht="11.25" x14ac:dyDescent="0.2">
      <c r="A99" s="14" t="s">
        <v>88</v>
      </c>
      <c r="B99" s="36" t="s">
        <v>89</v>
      </c>
      <c r="C99" s="49"/>
      <c r="D99" s="102"/>
    </row>
    <row r="100" spans="1:6" s="4" customFormat="1" ht="11.25" x14ac:dyDescent="0.2">
      <c r="A100" s="11"/>
      <c r="B100" s="49" t="s">
        <v>90</v>
      </c>
      <c r="C100" s="16">
        <f>[1]TBL_REF!C26</f>
        <v>8.3299999999999999E-2</v>
      </c>
      <c r="D100" s="61">
        <f>ROUND($D$37*C100,2)</f>
        <v>110.37</v>
      </c>
    </row>
    <row r="101" spans="1:6" s="4" customFormat="1" ht="11.25" x14ac:dyDescent="0.2">
      <c r="A101" s="11"/>
      <c r="B101" s="49" t="s">
        <v>91</v>
      </c>
      <c r="C101" s="16">
        <v>1.66E-2</v>
      </c>
      <c r="D101" s="61">
        <f>ROUND($D$37*C101,2)</f>
        <v>22</v>
      </c>
    </row>
    <row r="102" spans="1:6" s="4" customFormat="1" ht="11.25" x14ac:dyDescent="0.2">
      <c r="A102" s="11"/>
      <c r="B102" s="49" t="s">
        <v>92</v>
      </c>
      <c r="C102" s="16">
        <v>2.0000000000000001E-4</v>
      </c>
      <c r="D102" s="61">
        <f>ROUND($D$37*C102,2)</f>
        <v>0.27</v>
      </c>
    </row>
    <row r="103" spans="1:6" s="4" customFormat="1" ht="11.25" x14ac:dyDescent="0.2">
      <c r="A103" s="11"/>
      <c r="B103" s="12" t="s">
        <v>93</v>
      </c>
      <c r="C103" s="16">
        <v>8.2000000000000007E-3</v>
      </c>
      <c r="D103" s="61">
        <f>ROUND($D$37*C103,2)</f>
        <v>10.87</v>
      </c>
    </row>
    <row r="104" spans="1:6" s="4" customFormat="1" ht="11.25" x14ac:dyDescent="0.2">
      <c r="A104" s="11"/>
      <c r="B104" s="12" t="s">
        <v>94</v>
      </c>
      <c r="C104" s="16">
        <v>2.9999999999999997E-4</v>
      </c>
      <c r="D104" s="61">
        <f>ROUND($D$37*C104,2)</f>
        <v>0.4</v>
      </c>
      <c r="F104" s="33"/>
    </row>
    <row r="105" spans="1:6" s="4" customFormat="1" ht="11.25" x14ac:dyDescent="0.2">
      <c r="A105" s="18"/>
      <c r="B105" s="34" t="s">
        <v>40</v>
      </c>
      <c r="C105" s="16">
        <v>0</v>
      </c>
      <c r="D105" s="17"/>
      <c r="F105" s="33"/>
    </row>
    <row r="106" spans="1:6" s="4" customFormat="1" ht="11.25" x14ac:dyDescent="0.2">
      <c r="A106" s="170" t="s">
        <v>71</v>
      </c>
      <c r="B106" s="176"/>
      <c r="C106" s="22">
        <f>SUM(C100:C105)</f>
        <v>0.1086</v>
      </c>
      <c r="D106" s="23">
        <f>SUM(D100:D104)</f>
        <v>143.91000000000003</v>
      </c>
    </row>
    <row r="107" spans="1:6" s="4" customFormat="1" ht="11.25" x14ac:dyDescent="0.2">
      <c r="A107" s="170" t="s">
        <v>95</v>
      </c>
      <c r="B107" s="176"/>
      <c r="C107" s="22">
        <f>C106*C71</f>
        <v>3.9964800000000016E-2</v>
      </c>
      <c r="D107" s="23">
        <f>ROUND($D$106*C107,2)</f>
        <v>5.75</v>
      </c>
    </row>
    <row r="108" spans="1:6" s="4" customFormat="1" ht="11.25" x14ac:dyDescent="0.2">
      <c r="A108" s="170" t="s">
        <v>96</v>
      </c>
      <c r="B108" s="176"/>
      <c r="C108" s="22">
        <f>C106+C107</f>
        <v>0.14856480000000002</v>
      </c>
      <c r="D108" s="23">
        <f>D107+D106</f>
        <v>149.66000000000003</v>
      </c>
    </row>
    <row r="109" spans="1:6" s="4" customFormat="1" ht="11.25" x14ac:dyDescent="0.2">
      <c r="A109" s="24"/>
      <c r="B109" s="106"/>
      <c r="C109" s="20"/>
      <c r="D109" s="21"/>
    </row>
    <row r="110" spans="1:6" s="4" customFormat="1" ht="11.25" x14ac:dyDescent="0.2">
      <c r="A110" s="103">
        <v>4</v>
      </c>
      <c r="B110" s="104" t="s">
        <v>97</v>
      </c>
      <c r="C110" s="22"/>
      <c r="D110" s="23"/>
    </row>
    <row r="111" spans="1:6" s="4" customFormat="1" ht="11.25" x14ac:dyDescent="0.2">
      <c r="A111" s="103" t="str">
        <f>A62</f>
        <v>4.1</v>
      </c>
      <c r="B111" s="104" t="str">
        <f>A71</f>
        <v>Total dos Encargos Sociais</v>
      </c>
      <c r="C111" s="71">
        <f>C71</f>
        <v>0.3680000000000001</v>
      </c>
      <c r="D111" s="72">
        <f>D71</f>
        <v>487.61999999999995</v>
      </c>
    </row>
    <row r="112" spans="1:6" s="4" customFormat="1" ht="11.25" x14ac:dyDescent="0.2">
      <c r="A112" s="103" t="str">
        <f>A74</f>
        <v>4.2</v>
      </c>
      <c r="B112" s="104" t="str">
        <f>A79</f>
        <v>Total do 13º salário e Adicional de férias</v>
      </c>
      <c r="C112" s="71">
        <f>C79</f>
        <v>0.1519392</v>
      </c>
      <c r="D112" s="72">
        <f>D79</f>
        <v>153.16999999999999</v>
      </c>
    </row>
    <row r="113" spans="1:7" s="4" customFormat="1" ht="11.25" x14ac:dyDescent="0.2">
      <c r="A113" s="103" t="str">
        <f>A82</f>
        <v>4.3</v>
      </c>
      <c r="B113" s="104" t="str">
        <f>A86</f>
        <v>Total do Afastamento de Maternidade</v>
      </c>
      <c r="C113" s="71">
        <f>C86</f>
        <v>4.104E-4</v>
      </c>
      <c r="D113" s="72">
        <f>D86</f>
        <v>0.4</v>
      </c>
    </row>
    <row r="114" spans="1:7" s="4" customFormat="1" ht="11.25" x14ac:dyDescent="0.2">
      <c r="A114" s="103" t="str">
        <f>A89</f>
        <v xml:space="preserve">4.4 </v>
      </c>
      <c r="B114" s="104" t="str">
        <f>A97</f>
        <v>Total  de Custo de Rescisão</v>
      </c>
      <c r="C114" s="71">
        <f>C97</f>
        <v>7.4776200000000001E-2</v>
      </c>
      <c r="D114" s="72">
        <f>D97</f>
        <v>89.36</v>
      </c>
    </row>
    <row r="115" spans="1:7" s="4" customFormat="1" ht="11.25" x14ac:dyDescent="0.2">
      <c r="A115" s="103" t="str">
        <f>A99</f>
        <v xml:space="preserve">4.5 </v>
      </c>
      <c r="B115" s="104" t="str">
        <f>A108</f>
        <v>Total de Custo reposição por profissional ausente</v>
      </c>
      <c r="C115" s="71">
        <f>C108</f>
        <v>0.14856480000000002</v>
      </c>
      <c r="D115" s="72">
        <f>D108</f>
        <v>149.66000000000003</v>
      </c>
    </row>
    <row r="116" spans="1:7" s="4" customFormat="1" ht="11.25" x14ac:dyDescent="0.2">
      <c r="A116" s="179" t="s">
        <v>98</v>
      </c>
      <c r="B116" s="180"/>
      <c r="C116" s="22">
        <f>SUM(C111:C115)</f>
        <v>0.74369060000000009</v>
      </c>
      <c r="D116" s="23">
        <f>SUM(D111:D115)</f>
        <v>880.21</v>
      </c>
      <c r="E116" s="35"/>
    </row>
    <row r="117" spans="1:7" s="4" customFormat="1" ht="11.25" x14ac:dyDescent="0.2">
      <c r="A117" s="103"/>
      <c r="B117" s="36"/>
      <c r="C117" s="37"/>
      <c r="D117" s="38"/>
    </row>
    <row r="118" spans="1:7" s="4" customFormat="1" ht="11.25" x14ac:dyDescent="0.2">
      <c r="A118" s="172" t="s">
        <v>99</v>
      </c>
      <c r="B118" s="173"/>
      <c r="C118" s="22"/>
      <c r="D118" s="23">
        <f>D37+D48+D57+D116</f>
        <v>2734.2733333333331</v>
      </c>
      <c r="E118" s="28"/>
    </row>
    <row r="119" spans="1:7" s="4" customFormat="1" ht="11.25" x14ac:dyDescent="0.2">
      <c r="A119" s="24"/>
      <c r="B119" s="25"/>
      <c r="C119" s="26"/>
      <c r="D119" s="27"/>
    </row>
    <row r="120" spans="1:7" s="10" customFormat="1" ht="11.25" hidden="1" x14ac:dyDescent="0.2">
      <c r="A120" s="105"/>
      <c r="B120" s="25"/>
      <c r="C120" s="26"/>
      <c r="D120" s="27"/>
    </row>
    <row r="121" spans="1:7" s="30" customFormat="1" ht="11.25" x14ac:dyDescent="0.2">
      <c r="A121" s="165" t="s">
        <v>100</v>
      </c>
      <c r="B121" s="174"/>
      <c r="C121" s="174"/>
      <c r="D121" s="175"/>
    </row>
    <row r="122" spans="1:7" s="30" customFormat="1" ht="11.25" x14ac:dyDescent="0.2">
      <c r="A122" s="39">
        <v>5</v>
      </c>
      <c r="B122" s="40" t="s">
        <v>101</v>
      </c>
      <c r="C122" s="43"/>
      <c r="D122" s="44"/>
    </row>
    <row r="123" spans="1:7" s="42" customFormat="1" ht="11.25" x14ac:dyDescent="0.2">
      <c r="A123" s="39" t="s">
        <v>14</v>
      </c>
      <c r="B123" s="40" t="s">
        <v>102</v>
      </c>
      <c r="C123" s="50">
        <v>0.04</v>
      </c>
      <c r="D123" s="44">
        <f>C123*D118</f>
        <v>109.37093333333333</v>
      </c>
      <c r="E123" s="41"/>
      <c r="G123" s="28"/>
    </row>
    <row r="124" spans="1:7" s="30" customFormat="1" ht="11.25" x14ac:dyDescent="0.2">
      <c r="A124" s="39" t="s">
        <v>16</v>
      </c>
      <c r="B124" s="40" t="s">
        <v>103</v>
      </c>
      <c r="C124" s="43"/>
      <c r="D124" s="44"/>
      <c r="E124" s="41"/>
    </row>
    <row r="125" spans="1:7" s="30" customFormat="1" ht="11.25" x14ac:dyDescent="0.2">
      <c r="A125" s="31" t="s">
        <v>104</v>
      </c>
      <c r="B125" s="45" t="s">
        <v>105</v>
      </c>
      <c r="C125" s="71">
        <v>0.03</v>
      </c>
      <c r="D125" s="93">
        <f>($D$118+$D$123+$D$128)/(1-($C$125+$C$126+$C$127))*C125</f>
        <v>96.249999504886247</v>
      </c>
      <c r="E125" s="92"/>
    </row>
    <row r="126" spans="1:7" s="30" customFormat="1" ht="11.25" x14ac:dyDescent="0.2">
      <c r="A126" s="31" t="s">
        <v>106</v>
      </c>
      <c r="B126" s="45" t="s">
        <v>107</v>
      </c>
      <c r="C126" s="71">
        <v>6.4999999999999997E-3</v>
      </c>
      <c r="D126" s="93">
        <f>($D$118+$D$123+$D$128)/(1-($C$125+$C$126+$C$127))*C126</f>
        <v>20.85416655939202</v>
      </c>
      <c r="E126" s="41"/>
    </row>
    <row r="127" spans="1:7" s="30" customFormat="1" ht="11.25" x14ac:dyDescent="0.2">
      <c r="A127" s="31" t="s">
        <v>108</v>
      </c>
      <c r="B127" s="45" t="s">
        <v>109</v>
      </c>
      <c r="C127" s="71">
        <v>0.05</v>
      </c>
      <c r="D127" s="93">
        <f>($D$118+$D$123+$D$128)/(1-($C$125+$C$126+$C$127))*C127</f>
        <v>160.41666584147708</v>
      </c>
      <c r="E127" s="41"/>
    </row>
    <row r="128" spans="1:7" s="42" customFormat="1" ht="11.25" x14ac:dyDescent="0.2">
      <c r="A128" s="29" t="s">
        <v>18</v>
      </c>
      <c r="B128" s="46" t="s">
        <v>110</v>
      </c>
      <c r="C128" s="50">
        <v>3.0653699999999999E-2</v>
      </c>
      <c r="D128" s="44">
        <f>C128*(D118+D123)</f>
        <v>87.168218257119989</v>
      </c>
      <c r="E128" s="41"/>
    </row>
    <row r="129" spans="1:6" s="30" customFormat="1" ht="11.25" x14ac:dyDescent="0.2">
      <c r="A129" s="165" t="s">
        <v>111</v>
      </c>
      <c r="B129" s="166"/>
      <c r="C129" s="43">
        <f>SUM(C123:C128)</f>
        <v>0.15715370000000001</v>
      </c>
      <c r="D129" s="73">
        <f>SUM(D123:D128)</f>
        <v>474.05998349620864</v>
      </c>
      <c r="E129" s="47"/>
      <c r="F129" s="48"/>
    </row>
    <row r="130" spans="1:6" s="4" customFormat="1" ht="11.25" x14ac:dyDescent="0.2">
      <c r="A130" s="167"/>
      <c r="B130" s="168"/>
      <c r="C130" s="168"/>
      <c r="D130" s="169"/>
    </row>
    <row r="131" spans="1:6" s="4" customFormat="1" ht="11.25" x14ac:dyDescent="0.2">
      <c r="A131" s="167" t="s">
        <v>112</v>
      </c>
      <c r="B131" s="169"/>
      <c r="C131" s="14"/>
      <c r="D131" s="14"/>
    </row>
    <row r="132" spans="1:6" s="4" customFormat="1" ht="11.25" x14ac:dyDescent="0.2">
      <c r="A132" s="11"/>
      <c r="B132" s="49" t="s">
        <v>113</v>
      </c>
      <c r="C132" s="50"/>
      <c r="D132" s="74">
        <f>D37</f>
        <v>1325.03</v>
      </c>
    </row>
    <row r="133" spans="1:6" s="4" customFormat="1" ht="11.25" x14ac:dyDescent="0.2">
      <c r="A133" s="11"/>
      <c r="B133" s="49" t="s">
        <v>114</v>
      </c>
      <c r="C133" s="50"/>
      <c r="D133" s="74">
        <f>D48</f>
        <v>381.4</v>
      </c>
    </row>
    <row r="134" spans="1:6" s="4" customFormat="1" ht="11.25" x14ac:dyDescent="0.2">
      <c r="A134" s="51"/>
      <c r="B134" s="49" t="s">
        <v>115</v>
      </c>
      <c r="C134" s="50"/>
      <c r="D134" s="74">
        <f>D57</f>
        <v>147.63333333333333</v>
      </c>
    </row>
    <row r="135" spans="1:6" s="4" customFormat="1" ht="11.25" x14ac:dyDescent="0.2">
      <c r="A135" s="51"/>
      <c r="B135" s="49" t="s">
        <v>97</v>
      </c>
      <c r="C135" s="50"/>
      <c r="D135" s="74">
        <f>D116</f>
        <v>880.21</v>
      </c>
    </row>
    <row r="136" spans="1:6" s="4" customFormat="1" ht="11.25" x14ac:dyDescent="0.2">
      <c r="A136" s="167" t="s">
        <v>116</v>
      </c>
      <c r="B136" s="169"/>
      <c r="C136" s="22"/>
      <c r="D136" s="72">
        <f>SUM(D132:D135)</f>
        <v>2734.2733333333331</v>
      </c>
    </row>
    <row r="137" spans="1:6" s="4" customFormat="1" ht="11.25" x14ac:dyDescent="0.2">
      <c r="A137" s="100"/>
      <c r="B137" s="102" t="s">
        <v>117</v>
      </c>
      <c r="C137" s="22"/>
      <c r="D137" s="72">
        <f>D129</f>
        <v>474.05998349620864</v>
      </c>
    </row>
    <row r="138" spans="1:6" s="4" customFormat="1" x14ac:dyDescent="0.2">
      <c r="A138" s="170" t="s">
        <v>118</v>
      </c>
      <c r="B138" s="171"/>
      <c r="C138" s="124">
        <v>4</v>
      </c>
      <c r="D138" s="23">
        <f>D136+D137</f>
        <v>3208.3333168295417</v>
      </c>
      <c r="E138" s="215">
        <f>D139*12</f>
        <v>153999.99920781801</v>
      </c>
      <c r="F138" s="52"/>
    </row>
    <row r="139" spans="1:6" s="4" customFormat="1" x14ac:dyDescent="0.2">
      <c r="A139" s="170" t="s">
        <v>119</v>
      </c>
      <c r="B139" s="171"/>
      <c r="C139" s="22"/>
      <c r="D139" s="23">
        <f>D138*C138</f>
        <v>12833.333267318167</v>
      </c>
      <c r="E139" s="28">
        <v>13264.2</v>
      </c>
      <c r="F139" s="4">
        <f>E139*12</f>
        <v>159170.40000000002</v>
      </c>
    </row>
    <row r="140" spans="1:6" s="4" customFormat="1" ht="11.25" x14ac:dyDescent="0.2">
      <c r="A140" s="53"/>
      <c r="B140" s="53"/>
      <c r="C140" s="53"/>
      <c r="D140" s="53"/>
      <c r="E140" s="52">
        <f>E139/D139</f>
        <v>1.0335740312907711</v>
      </c>
    </row>
    <row r="141" spans="1:6" s="4" customFormat="1" ht="11.25" x14ac:dyDescent="0.2">
      <c r="D141" s="54"/>
    </row>
    <row r="142" spans="1:6" s="1" customFormat="1" ht="11.25" x14ac:dyDescent="0.2">
      <c r="A142" s="159" t="s">
        <v>120</v>
      </c>
      <c r="B142" s="160"/>
      <c r="C142" s="160"/>
      <c r="D142" s="161"/>
    </row>
    <row r="143" spans="1:6" s="1" customFormat="1" ht="11.25" x14ac:dyDescent="0.2">
      <c r="A143" s="80"/>
      <c r="B143" s="81"/>
      <c r="C143" s="82"/>
      <c r="D143" s="83"/>
    </row>
    <row r="144" spans="1:6" s="1" customFormat="1" ht="22.5" x14ac:dyDescent="0.2">
      <c r="A144" s="80"/>
      <c r="B144" s="84" t="s">
        <v>121</v>
      </c>
      <c r="C144" s="85">
        <f>D153</f>
        <v>7.1526933333333348E-2</v>
      </c>
      <c r="D144" s="90">
        <f>A155+B155+C155</f>
        <v>7.3396050000000006</v>
      </c>
    </row>
    <row r="145" spans="1:4" s="1" customFormat="1" ht="11.25" x14ac:dyDescent="0.2">
      <c r="A145" s="80"/>
      <c r="B145" s="86" t="s">
        <v>122</v>
      </c>
      <c r="C145" s="85">
        <v>0.1111</v>
      </c>
      <c r="D145" s="90">
        <f>D77</f>
        <v>147.16</v>
      </c>
    </row>
    <row r="146" spans="1:4" s="1" customFormat="1" ht="11.25" x14ac:dyDescent="0.2">
      <c r="A146" s="81"/>
      <c r="B146" s="86" t="s">
        <v>123</v>
      </c>
      <c r="C146" s="85">
        <v>8.3299999999999999E-2</v>
      </c>
      <c r="D146" s="90">
        <f>D100</f>
        <v>110.37</v>
      </c>
    </row>
    <row r="147" spans="1:4" s="1" customFormat="1" ht="11.25" x14ac:dyDescent="0.2">
      <c r="A147" s="81"/>
      <c r="B147" s="86" t="s">
        <v>124</v>
      </c>
      <c r="C147" s="85">
        <v>4.2500000000000003E-2</v>
      </c>
      <c r="D147" s="83">
        <f>D96</f>
        <v>57.77</v>
      </c>
    </row>
    <row r="148" spans="1:4" s="1" customFormat="1" ht="11.25" x14ac:dyDescent="0.2">
      <c r="A148" s="81"/>
      <c r="B148" s="81" t="s">
        <v>125</v>
      </c>
      <c r="C148" s="85">
        <v>0.30649999999999999</v>
      </c>
      <c r="D148" s="83"/>
    </row>
    <row r="149" spans="1:4" s="1" customFormat="1" ht="11.25" x14ac:dyDescent="0.2">
      <c r="A149" s="162" t="s">
        <v>126</v>
      </c>
      <c r="B149" s="163"/>
      <c r="C149" s="164"/>
      <c r="D149" s="87">
        <f>D144+D145+D146+D147</f>
        <v>322.63960499999996</v>
      </c>
    </row>
    <row r="150" spans="1:4" s="1" customFormat="1" ht="11.25" x14ac:dyDescent="0.2"/>
    <row r="151" spans="1:4" s="1" customFormat="1" ht="11.25" x14ac:dyDescent="0.2"/>
    <row r="152" spans="1:4" s="1" customFormat="1" ht="11.25" x14ac:dyDescent="0.2">
      <c r="A152" s="88" t="s">
        <v>90</v>
      </c>
      <c r="B152" s="91" t="s">
        <v>127</v>
      </c>
      <c r="C152" s="75" t="s">
        <v>128</v>
      </c>
    </row>
    <row r="153" spans="1:4" s="1" customFormat="1" ht="11.25" x14ac:dyDescent="0.2">
      <c r="A153" s="76">
        <f>C71*C75</f>
        <v>3.0654400000000009E-2</v>
      </c>
      <c r="B153" s="76">
        <f>C71*C76</f>
        <v>1.0218133333333336E-2</v>
      </c>
      <c r="C153" s="76">
        <f>C71*C100</f>
        <v>3.0654400000000009E-2</v>
      </c>
      <c r="D153" s="76">
        <f>SUM(A153:C153)</f>
        <v>7.1526933333333348E-2</v>
      </c>
    </row>
    <row r="154" spans="1:4" s="1" customFormat="1" ht="11.25" x14ac:dyDescent="0.2">
      <c r="A154" s="77">
        <v>3.15E-2</v>
      </c>
      <c r="B154" s="77">
        <v>1.0500000000000001E-2</v>
      </c>
      <c r="C154" s="77">
        <v>3.15E-2</v>
      </c>
    </row>
    <row r="155" spans="1:4" s="1" customFormat="1" ht="11.25" x14ac:dyDescent="0.2">
      <c r="A155" s="78">
        <f>A154*D100</f>
        <v>3.4766550000000001</v>
      </c>
      <c r="B155" s="78">
        <f>B154*D76</f>
        <v>0.386295</v>
      </c>
      <c r="C155" s="78">
        <f>C154*D75</f>
        <v>3.4766550000000001</v>
      </c>
    </row>
    <row r="156" spans="1:4" s="1" customFormat="1" ht="11.25" x14ac:dyDescent="0.2"/>
    <row r="157" spans="1:4" s="1" customFormat="1" ht="11.25" x14ac:dyDescent="0.2"/>
    <row r="158" spans="1:4" s="1" customFormat="1" ht="11.25" x14ac:dyDescent="0.2"/>
    <row r="159" spans="1:4" s="1" customFormat="1" ht="11.25" x14ac:dyDescent="0.2"/>
    <row r="160" spans="1:4" s="1" customFormat="1" ht="11.25" x14ac:dyDescent="0.2"/>
    <row r="161" s="1" customFormat="1" ht="11.25" x14ac:dyDescent="0.2"/>
    <row r="162" s="1" customFormat="1" ht="11.25" x14ac:dyDescent="0.2"/>
    <row r="163" s="1" customFormat="1" ht="11.25" x14ac:dyDescent="0.2"/>
    <row r="164" s="1" customFormat="1" ht="11.25" x14ac:dyDescent="0.2"/>
    <row r="165" s="1" customFormat="1" ht="11.25" x14ac:dyDescent="0.2"/>
    <row r="166" s="1" customFormat="1" ht="11.25" x14ac:dyDescent="0.2"/>
    <row r="167" s="1" customFormat="1" ht="11.25" x14ac:dyDescent="0.2"/>
    <row r="168" s="1" customFormat="1" ht="11.25" x14ac:dyDescent="0.2"/>
    <row r="169" s="1" customFormat="1" ht="11.25" x14ac:dyDescent="0.2"/>
    <row r="170" s="1" customFormat="1" ht="11.25" x14ac:dyDescent="0.2"/>
    <row r="171" s="1" customFormat="1" ht="11.25" x14ac:dyDescent="0.2"/>
    <row r="172" s="1" customFormat="1" ht="11.25" x14ac:dyDescent="0.2"/>
    <row r="173" s="1" customFormat="1" ht="11.25" x14ac:dyDescent="0.2"/>
    <row r="174" s="1" customFormat="1" ht="11.25" x14ac:dyDescent="0.2"/>
    <row r="175" s="1" customFormat="1" ht="11.25" x14ac:dyDescent="0.2"/>
    <row r="176" s="1" customFormat="1" ht="11.25" x14ac:dyDescent="0.2"/>
    <row r="177" s="1" customFormat="1" ht="11.25" x14ac:dyDescent="0.2"/>
    <row r="178" s="1" customFormat="1" ht="11.25" x14ac:dyDescent="0.2"/>
    <row r="179" s="1" customFormat="1" ht="11.25" x14ac:dyDescent="0.2"/>
    <row r="180" s="1" customFormat="1" ht="11.25" x14ac:dyDescent="0.2"/>
    <row r="181" s="1" customFormat="1" ht="11.25" x14ac:dyDescent="0.2"/>
    <row r="182" s="1" customFormat="1" ht="11.25" x14ac:dyDescent="0.2"/>
    <row r="183" s="1" customFormat="1" ht="11.25" x14ac:dyDescent="0.2"/>
    <row r="184" s="1" customFormat="1" ht="11.25" x14ac:dyDescent="0.2"/>
    <row r="185" s="1" customFormat="1" ht="11.25" x14ac:dyDescent="0.2"/>
    <row r="186" s="1" customFormat="1" ht="11.25" x14ac:dyDescent="0.2"/>
    <row r="187" s="1" customFormat="1" ht="11.25" x14ac:dyDescent="0.2"/>
  </sheetData>
  <mergeCells count="51">
    <mergeCell ref="A8:B8"/>
    <mergeCell ref="C8:D8"/>
    <mergeCell ref="A2:D2"/>
    <mergeCell ref="A3:D3"/>
    <mergeCell ref="A4:D4"/>
    <mergeCell ref="A7:B7"/>
    <mergeCell ref="C7:D7"/>
    <mergeCell ref="C20:D20"/>
    <mergeCell ref="C21:D21"/>
    <mergeCell ref="A9:B9"/>
    <mergeCell ref="C9:D9"/>
    <mergeCell ref="A10:D10"/>
    <mergeCell ref="C11:D11"/>
    <mergeCell ref="C12:D12"/>
    <mergeCell ref="C13:D13"/>
    <mergeCell ref="C14:D14"/>
    <mergeCell ref="C15:D15"/>
    <mergeCell ref="C16:D16"/>
    <mergeCell ref="C17:D17"/>
    <mergeCell ref="A71:B71"/>
    <mergeCell ref="A77:B77"/>
    <mergeCell ref="C22:D22"/>
    <mergeCell ref="C23:D23"/>
    <mergeCell ref="A26:D26"/>
    <mergeCell ref="C27:D27"/>
    <mergeCell ref="A37:B37"/>
    <mergeCell ref="A40:D40"/>
    <mergeCell ref="A48:B48"/>
    <mergeCell ref="A51:D51"/>
    <mergeCell ref="A57:B57"/>
    <mergeCell ref="A60:D60"/>
    <mergeCell ref="A118:B118"/>
    <mergeCell ref="A121:D121"/>
    <mergeCell ref="A78:B78"/>
    <mergeCell ref="A79:B79"/>
    <mergeCell ref="A84:B84"/>
    <mergeCell ref="A85:B85"/>
    <mergeCell ref="A86:B86"/>
    <mergeCell ref="A97:B97"/>
    <mergeCell ref="A106:B106"/>
    <mergeCell ref="A107:B107"/>
    <mergeCell ref="A108:B108"/>
    <mergeCell ref="A116:B116"/>
    <mergeCell ref="A142:D142"/>
    <mergeCell ref="A149:C149"/>
    <mergeCell ref="A129:B129"/>
    <mergeCell ref="A130:D130"/>
    <mergeCell ref="A131:B131"/>
    <mergeCell ref="A136:B136"/>
    <mergeCell ref="A138:B138"/>
    <mergeCell ref="A139:B139"/>
  </mergeCells>
  <phoneticPr fontId="5" type="noConversion"/>
  <pageMargins left="0.7" right="0.7" top="0.75" bottom="0.75" header="0.3" footer="0.3"/>
  <pageSetup paperSize="9" scale="76" orientation="portrait" r:id="rId1"/>
  <headerFooter alignWithMargins="0"/>
  <rowBreaks count="1" manualBreakCount="1">
    <brk id="7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7"/>
  <sheetViews>
    <sheetView showGridLines="0" topLeftCell="A121" zoomScale="145" zoomScaleNormal="145" workbookViewId="0">
      <selection activeCell="C129" sqref="C129"/>
    </sheetView>
  </sheetViews>
  <sheetFormatPr defaultRowHeight="15" x14ac:dyDescent="0.25"/>
  <cols>
    <col min="1" max="1" width="5.42578125" style="55" customWidth="1"/>
    <col min="2" max="2" width="55.140625" style="55" customWidth="1"/>
    <col min="3" max="3" width="14.42578125" style="55" customWidth="1"/>
    <col min="4" max="4" width="11.28515625" style="55" customWidth="1"/>
    <col min="5" max="5" width="14.28515625" style="55" customWidth="1"/>
    <col min="6" max="6" width="13.7109375" style="55" customWidth="1"/>
    <col min="7" max="7" width="15.28515625" style="55" customWidth="1"/>
    <col min="8" max="16384" width="9.140625" style="55"/>
  </cols>
  <sheetData>
    <row r="1" spans="1:5" s="1" customFormat="1" ht="11.25" hidden="1" customHeight="1" x14ac:dyDescent="0.2">
      <c r="D1" s="1" t="s">
        <v>9</v>
      </c>
    </row>
    <row r="2" spans="1:5" s="2" customFormat="1" ht="12" customHeight="1" x14ac:dyDescent="0.2">
      <c r="A2" s="202" t="s">
        <v>10</v>
      </c>
      <c r="B2" s="202"/>
      <c r="C2" s="202"/>
      <c r="D2" s="202"/>
    </row>
    <row r="3" spans="1:5" s="2" customFormat="1" ht="12" customHeight="1" x14ac:dyDescent="0.2">
      <c r="A3" s="202" t="s">
        <v>144</v>
      </c>
      <c r="B3" s="202"/>
      <c r="C3" s="202"/>
      <c r="D3" s="202"/>
    </row>
    <row r="4" spans="1:5" s="2" customFormat="1" ht="12" customHeight="1" x14ac:dyDescent="0.2">
      <c r="A4" s="202" t="s">
        <v>145</v>
      </c>
      <c r="B4" s="202"/>
      <c r="C4" s="202"/>
      <c r="D4" s="202"/>
    </row>
    <row r="5" spans="1:5" s="1" customFormat="1" ht="11.25" hidden="1" customHeight="1" x14ac:dyDescent="0.2">
      <c r="A5" s="3"/>
      <c r="B5" s="3"/>
      <c r="C5" s="3"/>
      <c r="D5" s="3"/>
    </row>
    <row r="6" spans="1:5" s="1" customFormat="1" ht="11.25" hidden="1" customHeight="1" x14ac:dyDescent="0.2">
      <c r="A6" s="3"/>
      <c r="B6" s="3"/>
      <c r="C6" s="3"/>
      <c r="D6" s="3"/>
    </row>
    <row r="7" spans="1:5" s="4" customFormat="1" ht="11.25" customHeight="1" x14ac:dyDescent="0.25">
      <c r="A7" s="191" t="s">
        <v>11</v>
      </c>
      <c r="B7" s="191"/>
      <c r="C7" s="203" t="s">
        <v>143</v>
      </c>
      <c r="D7" s="201"/>
      <c r="E7"/>
    </row>
    <row r="8" spans="1:5" s="4" customFormat="1" ht="11.25" customHeight="1" x14ac:dyDescent="0.2">
      <c r="A8" s="191" t="s">
        <v>12</v>
      </c>
      <c r="B8" s="191"/>
      <c r="C8" s="200" t="s">
        <v>142</v>
      </c>
      <c r="D8" s="201"/>
    </row>
    <row r="9" spans="1:5" s="4" customFormat="1" ht="11.25" customHeight="1" x14ac:dyDescent="0.2">
      <c r="A9" s="191" t="s">
        <v>13</v>
      </c>
      <c r="B9" s="191"/>
      <c r="C9" s="192"/>
      <c r="D9" s="193"/>
    </row>
    <row r="10" spans="1:5" s="4" customFormat="1" ht="11.25" x14ac:dyDescent="0.2">
      <c r="A10" s="191"/>
      <c r="B10" s="194"/>
      <c r="C10" s="194"/>
      <c r="D10" s="194"/>
    </row>
    <row r="11" spans="1:5" s="4" customFormat="1" ht="11.25" x14ac:dyDescent="0.2">
      <c r="A11" s="14" t="s">
        <v>14</v>
      </c>
      <c r="B11" s="121" t="s">
        <v>15</v>
      </c>
      <c r="C11" s="195" t="s">
        <v>132</v>
      </c>
      <c r="D11" s="196"/>
      <c r="E11" s="5"/>
    </row>
    <row r="12" spans="1:5" s="4" customFormat="1" ht="11.25" customHeight="1" x14ac:dyDescent="0.2">
      <c r="A12" s="14" t="s">
        <v>16</v>
      </c>
      <c r="B12" s="121" t="s">
        <v>17</v>
      </c>
      <c r="C12" s="197" t="s">
        <v>133</v>
      </c>
      <c r="D12" s="198"/>
    </row>
    <row r="13" spans="1:5" s="4" customFormat="1" ht="11.25" customHeight="1" x14ac:dyDescent="0.2">
      <c r="A13" s="14" t="s">
        <v>18</v>
      </c>
      <c r="B13" s="121" t="s">
        <v>19</v>
      </c>
      <c r="C13" s="197" t="s">
        <v>134</v>
      </c>
      <c r="D13" s="199"/>
    </row>
    <row r="14" spans="1:5" s="4" customFormat="1" ht="19.5" customHeight="1" x14ac:dyDescent="0.2">
      <c r="A14" s="14" t="s">
        <v>20</v>
      </c>
      <c r="B14" s="121" t="s">
        <v>21</v>
      </c>
      <c r="C14" s="181" t="s">
        <v>136</v>
      </c>
      <c r="D14" s="182"/>
    </row>
    <row r="15" spans="1:5" s="4" customFormat="1" ht="11.25" x14ac:dyDescent="0.2">
      <c r="A15" s="14" t="s">
        <v>22</v>
      </c>
      <c r="B15" s="121" t="s">
        <v>23</v>
      </c>
      <c r="C15" s="197" t="s">
        <v>24</v>
      </c>
      <c r="D15" s="198"/>
    </row>
    <row r="16" spans="1:5" s="4" customFormat="1" ht="11.25" x14ac:dyDescent="0.2">
      <c r="A16" s="14" t="s">
        <v>25</v>
      </c>
      <c r="B16" s="121" t="s">
        <v>26</v>
      </c>
      <c r="C16" s="199">
        <v>2</v>
      </c>
      <c r="D16" s="198"/>
    </row>
    <row r="17" spans="1:6" s="4" customFormat="1" ht="11.25" x14ac:dyDescent="0.2">
      <c r="A17" s="14" t="s">
        <v>27</v>
      </c>
      <c r="B17" s="121" t="s">
        <v>28</v>
      </c>
      <c r="C17" s="199">
        <v>12</v>
      </c>
      <c r="D17" s="198"/>
    </row>
    <row r="18" spans="1:6" s="4" customFormat="1" ht="11.25" x14ac:dyDescent="0.2">
      <c r="A18" s="6"/>
      <c r="B18" s="25"/>
      <c r="C18" s="122"/>
      <c r="D18" s="123"/>
    </row>
    <row r="19" spans="1:6" s="4" customFormat="1" ht="11.25" hidden="1" customHeight="1" x14ac:dyDescent="0.2">
      <c r="A19" s="6"/>
      <c r="B19" s="7"/>
      <c r="C19" s="8"/>
      <c r="D19" s="9"/>
    </row>
    <row r="20" spans="1:6" s="4" customFormat="1" ht="32.25" customHeight="1" x14ac:dyDescent="0.2">
      <c r="A20" s="14">
        <v>1</v>
      </c>
      <c r="B20" s="121" t="s">
        <v>29</v>
      </c>
      <c r="C20" s="181" t="s">
        <v>137</v>
      </c>
      <c r="D20" s="182"/>
    </row>
    <row r="21" spans="1:6" s="4" customFormat="1" ht="11.25" x14ac:dyDescent="0.2">
      <c r="A21" s="14">
        <v>2</v>
      </c>
      <c r="B21" s="121" t="s">
        <v>30</v>
      </c>
      <c r="C21" s="189">
        <v>1020</v>
      </c>
      <c r="D21" s="190"/>
    </row>
    <row r="22" spans="1:6" s="4" customFormat="1" ht="22.15" customHeight="1" x14ac:dyDescent="0.2">
      <c r="A22" s="14">
        <v>3</v>
      </c>
      <c r="B22" s="121" t="s">
        <v>31</v>
      </c>
      <c r="C22" s="181" t="s">
        <v>138</v>
      </c>
      <c r="D22" s="182"/>
    </row>
    <row r="23" spans="1:6" s="4" customFormat="1" ht="11.25" customHeight="1" x14ac:dyDescent="0.2">
      <c r="A23" s="14">
        <v>4</v>
      </c>
      <c r="B23" s="121" t="s">
        <v>32</v>
      </c>
      <c r="C23" s="183" t="s">
        <v>135</v>
      </c>
      <c r="D23" s="184"/>
    </row>
    <row r="24" spans="1:6" s="10" customFormat="1" ht="11.25" x14ac:dyDescent="0.2">
      <c r="A24" s="56"/>
      <c r="B24" s="57"/>
      <c r="C24" s="58"/>
      <c r="D24" s="59"/>
    </row>
    <row r="25" spans="1:6" s="10" customFormat="1" ht="11.25" hidden="1" customHeight="1" x14ac:dyDescent="0.2">
      <c r="A25" s="56"/>
      <c r="B25" s="57"/>
      <c r="C25" s="58"/>
      <c r="D25" s="59"/>
    </row>
    <row r="26" spans="1:6" s="4" customFormat="1" ht="11.25" customHeight="1" x14ac:dyDescent="0.2">
      <c r="A26" s="167" t="s">
        <v>33</v>
      </c>
      <c r="B26" s="185"/>
      <c r="C26" s="185"/>
      <c r="D26" s="186"/>
    </row>
    <row r="27" spans="1:6" s="4" customFormat="1" ht="11.25" x14ac:dyDescent="0.2">
      <c r="A27" s="14">
        <v>1</v>
      </c>
      <c r="B27" s="14" t="s">
        <v>34</v>
      </c>
      <c r="C27" s="172"/>
      <c r="D27" s="173"/>
    </row>
    <row r="28" spans="1:6" s="4" customFormat="1" ht="11.25" x14ac:dyDescent="0.2">
      <c r="A28" s="11"/>
      <c r="B28" s="12" t="s">
        <v>35</v>
      </c>
      <c r="C28" s="13"/>
      <c r="D28" s="60">
        <f>C21</f>
        <v>1020</v>
      </c>
      <c r="E28" s="4">
        <f>15*16</f>
        <v>240</v>
      </c>
      <c r="F28" s="4">
        <f>8*16</f>
        <v>128</v>
      </c>
    </row>
    <row r="29" spans="1:6" s="4" customFormat="1" ht="11.25" x14ac:dyDescent="0.2">
      <c r="A29" s="14"/>
      <c r="B29" s="14"/>
      <c r="C29" s="15" t="s">
        <v>36</v>
      </c>
      <c r="D29" s="15"/>
      <c r="E29" s="4">
        <f>E28*5%</f>
        <v>12</v>
      </c>
    </row>
    <row r="30" spans="1:6" s="4" customFormat="1" ht="11.25" x14ac:dyDescent="0.2">
      <c r="A30" s="11"/>
      <c r="B30" s="116" t="s">
        <v>37</v>
      </c>
      <c r="C30" s="16">
        <v>0</v>
      </c>
      <c r="D30" s="17">
        <v>0</v>
      </c>
    </row>
    <row r="31" spans="1:6" s="4" customFormat="1" ht="11.25" x14ac:dyDescent="0.2">
      <c r="A31" s="11"/>
      <c r="B31" s="116" t="s">
        <v>38</v>
      </c>
      <c r="C31" s="16">
        <v>0.2</v>
      </c>
      <c r="D31" s="17">
        <f>1.06*128</f>
        <v>135.68</v>
      </c>
      <c r="E31" s="4">
        <f>8*16</f>
        <v>128</v>
      </c>
    </row>
    <row r="32" spans="1:6" s="4" customFormat="1" ht="11.25" x14ac:dyDescent="0.2">
      <c r="A32" s="11"/>
      <c r="B32" s="116" t="s">
        <v>152</v>
      </c>
      <c r="C32" s="16">
        <v>0</v>
      </c>
      <c r="D32" s="17">
        <f>(C21/192)*1.5*16</f>
        <v>127.5</v>
      </c>
    </row>
    <row r="33" spans="1:5" s="4" customFormat="1" ht="11.25" x14ac:dyDescent="0.2">
      <c r="A33" s="11"/>
      <c r="B33" s="116" t="s">
        <v>151</v>
      </c>
      <c r="C33" s="16">
        <v>0</v>
      </c>
      <c r="D33" s="17">
        <f>(D31+D32+D35)/25*5</f>
        <v>78.135999999999996</v>
      </c>
      <c r="E33" s="4">
        <f>C21/192</f>
        <v>5.3125</v>
      </c>
    </row>
    <row r="34" spans="1:5" s="4" customFormat="1" ht="11.25" x14ac:dyDescent="0.2">
      <c r="A34" s="11"/>
      <c r="B34" s="116" t="s">
        <v>148</v>
      </c>
      <c r="C34" s="16">
        <v>0</v>
      </c>
      <c r="D34" s="17">
        <v>152.03</v>
      </c>
      <c r="E34" s="4">
        <f>E33*20%</f>
        <v>1.0625</v>
      </c>
    </row>
    <row r="35" spans="1:5" s="4" customFormat="1" ht="11.25" x14ac:dyDescent="0.2">
      <c r="A35" s="11"/>
      <c r="B35" s="116" t="s">
        <v>150</v>
      </c>
      <c r="C35" s="16">
        <v>0</v>
      </c>
      <c r="D35" s="17">
        <f>(C21/192)*1.5*16</f>
        <v>127.5</v>
      </c>
    </row>
    <row r="36" spans="1:5" s="4" customFormat="1" ht="11.25" x14ac:dyDescent="0.2">
      <c r="A36" s="11"/>
      <c r="B36" s="116" t="s">
        <v>40</v>
      </c>
      <c r="C36" s="16">
        <v>0</v>
      </c>
      <c r="D36" s="17">
        <f>$D$28*C36</f>
        <v>0</v>
      </c>
      <c r="E36" s="28">
        <f>D34*12</f>
        <v>1824.3600000000001</v>
      </c>
    </row>
    <row r="37" spans="1:5" s="4" customFormat="1" ht="11.25" customHeight="1" x14ac:dyDescent="0.2">
      <c r="A37" s="167" t="s">
        <v>41</v>
      </c>
      <c r="B37" s="176"/>
      <c r="C37" s="22">
        <f>SUM(C30:C36)</f>
        <v>0.2</v>
      </c>
      <c r="D37" s="23">
        <f>D28+SUM(D30:D36)</f>
        <v>1640.846</v>
      </c>
      <c r="E37" s="28">
        <f>D37-D34</f>
        <v>1488.816</v>
      </c>
    </row>
    <row r="38" spans="1:5" s="10" customFormat="1" ht="11.25" x14ac:dyDescent="0.2">
      <c r="A38" s="119"/>
      <c r="B38" s="25"/>
      <c r="C38" s="26"/>
      <c r="D38" s="27"/>
      <c r="E38" s="125">
        <f>E37/12</f>
        <v>124.068</v>
      </c>
    </row>
    <row r="39" spans="1:5" s="10" customFormat="1" ht="11.25" hidden="1" customHeight="1" x14ac:dyDescent="0.2">
      <c r="A39" s="119"/>
      <c r="B39" s="25"/>
      <c r="C39" s="26"/>
      <c r="D39" s="27">
        <v>9</v>
      </c>
    </row>
    <row r="40" spans="1:5" s="4" customFormat="1" ht="11.25" customHeight="1" x14ac:dyDescent="0.2">
      <c r="A40" s="167" t="s">
        <v>42</v>
      </c>
      <c r="B40" s="185"/>
      <c r="C40" s="185"/>
      <c r="D40" s="186"/>
      <c r="E40" s="28">
        <f>E38*15</f>
        <v>1861.02</v>
      </c>
    </row>
    <row r="41" spans="1:5" s="4" customFormat="1" ht="11.25" x14ac:dyDescent="0.2">
      <c r="A41" s="14">
        <v>2</v>
      </c>
      <c r="B41" s="14" t="s">
        <v>43</v>
      </c>
      <c r="C41" s="14" t="s">
        <v>36</v>
      </c>
      <c r="D41" s="14"/>
      <c r="E41" s="28">
        <f>E40/12</f>
        <v>155.08500000000001</v>
      </c>
    </row>
    <row r="42" spans="1:5" s="4" customFormat="1" ht="15.75" customHeight="1" x14ac:dyDescent="0.2">
      <c r="A42" s="11"/>
      <c r="B42" s="116" t="s">
        <v>139</v>
      </c>
      <c r="C42" s="50"/>
      <c r="D42" s="17">
        <f>(3.8*2*16)-(0.06*C21)</f>
        <v>60.4</v>
      </c>
      <c r="E42" s="28"/>
    </row>
    <row r="43" spans="1:5" s="4" customFormat="1" ht="15.75" customHeight="1" x14ac:dyDescent="0.2">
      <c r="A43" s="11"/>
      <c r="B43" s="116" t="s">
        <v>140</v>
      </c>
      <c r="C43" s="50"/>
      <c r="D43" s="17">
        <f>(15*16)-(240*5%)</f>
        <v>228</v>
      </c>
      <c r="E43" s="28"/>
    </row>
    <row r="44" spans="1:5" s="4" customFormat="1" ht="11.25" x14ac:dyDescent="0.2">
      <c r="A44" s="11"/>
      <c r="B44" s="116" t="s">
        <v>44</v>
      </c>
      <c r="C44" s="50"/>
      <c r="D44" s="17">
        <v>0</v>
      </c>
    </row>
    <row r="45" spans="1:5" s="4" customFormat="1" ht="11.25" x14ac:dyDescent="0.2">
      <c r="A45" s="11"/>
      <c r="B45" s="116" t="s">
        <v>45</v>
      </c>
      <c r="C45" s="50"/>
      <c r="D45" s="17">
        <v>12</v>
      </c>
    </row>
    <row r="46" spans="1:5" s="4" customFormat="1" ht="11.25" x14ac:dyDescent="0.2">
      <c r="A46" s="11"/>
      <c r="B46" s="116" t="s">
        <v>141</v>
      </c>
      <c r="C46" s="50"/>
      <c r="D46" s="17">
        <v>70</v>
      </c>
    </row>
    <row r="47" spans="1:5" s="4" customFormat="1" ht="11.25" x14ac:dyDescent="0.2">
      <c r="A47" s="11"/>
      <c r="B47" s="116" t="s">
        <v>40</v>
      </c>
      <c r="C47" s="16"/>
      <c r="D47" s="17">
        <v>0</v>
      </c>
    </row>
    <row r="48" spans="1:5" s="4" customFormat="1" ht="11.25" customHeight="1" x14ac:dyDescent="0.2">
      <c r="A48" s="187" t="s">
        <v>46</v>
      </c>
      <c r="B48" s="188"/>
      <c r="C48" s="20"/>
      <c r="D48" s="21">
        <f>SUM(D42:D47)</f>
        <v>370.4</v>
      </c>
    </row>
    <row r="49" spans="1:4" s="10" customFormat="1" ht="11.25" x14ac:dyDescent="0.2">
      <c r="A49" s="119"/>
      <c r="B49" s="25"/>
      <c r="C49" s="26"/>
      <c r="D49" s="27"/>
    </row>
    <row r="50" spans="1:4" s="10" customFormat="1" ht="11.25" hidden="1" customHeight="1" x14ac:dyDescent="0.2">
      <c r="A50" s="119"/>
      <c r="B50" s="25"/>
      <c r="C50" s="26"/>
      <c r="D50" s="27"/>
    </row>
    <row r="51" spans="1:4" s="4" customFormat="1" ht="11.25" customHeight="1" x14ac:dyDescent="0.2">
      <c r="A51" s="167" t="s">
        <v>47</v>
      </c>
      <c r="B51" s="185"/>
      <c r="C51" s="185"/>
      <c r="D51" s="186"/>
    </row>
    <row r="52" spans="1:4" s="4" customFormat="1" ht="11.25" x14ac:dyDescent="0.2">
      <c r="A52" s="14">
        <v>3</v>
      </c>
      <c r="B52" s="14" t="s">
        <v>48</v>
      </c>
      <c r="C52" s="14" t="s">
        <v>36</v>
      </c>
      <c r="D52" s="14" t="s">
        <v>49</v>
      </c>
    </row>
    <row r="53" spans="1:4" s="4" customFormat="1" ht="11.25" x14ac:dyDescent="0.2">
      <c r="A53" s="18"/>
      <c r="B53" s="19" t="s">
        <v>50</v>
      </c>
      <c r="C53" s="16"/>
      <c r="D53" s="79">
        <f>'UNIF E EPI ELET'!I18</f>
        <v>89.633333333333326</v>
      </c>
    </row>
    <row r="54" spans="1:4" s="4" customFormat="1" ht="11.25" x14ac:dyDescent="0.2">
      <c r="A54" s="18"/>
      <c r="B54" s="19" t="s">
        <v>51</v>
      </c>
      <c r="C54" s="16"/>
      <c r="D54" s="79">
        <v>0</v>
      </c>
    </row>
    <row r="55" spans="1:4" s="4" customFormat="1" ht="11.25" x14ac:dyDescent="0.2">
      <c r="A55" s="18"/>
      <c r="B55" s="19" t="s">
        <v>52</v>
      </c>
      <c r="C55" s="16"/>
      <c r="D55" s="79">
        <f>'UNIF E EPI ELET'!J30</f>
        <v>58</v>
      </c>
    </row>
    <row r="56" spans="1:4" s="4" customFormat="1" ht="11.25" x14ac:dyDescent="0.2">
      <c r="A56" s="18"/>
      <c r="B56" s="4" t="s">
        <v>40</v>
      </c>
      <c r="C56" s="16"/>
      <c r="D56" s="79">
        <f>$D$28*C56</f>
        <v>0</v>
      </c>
    </row>
    <row r="57" spans="1:4" s="4" customFormat="1" ht="11.25" customHeight="1" x14ac:dyDescent="0.2">
      <c r="A57" s="167" t="s">
        <v>53</v>
      </c>
      <c r="B57" s="176"/>
      <c r="C57" s="22"/>
      <c r="D57" s="44">
        <f>SUM(D53:D56)</f>
        <v>147.63333333333333</v>
      </c>
    </row>
    <row r="58" spans="1:4" s="4" customFormat="1" ht="11.25" x14ac:dyDescent="0.2">
      <c r="A58" s="119"/>
      <c r="B58" s="120"/>
      <c r="C58" s="20"/>
      <c r="D58" s="21"/>
    </row>
    <row r="59" spans="1:4" s="10" customFormat="1" ht="11.25" hidden="1" customHeight="1" x14ac:dyDescent="0.2">
      <c r="A59" s="119"/>
      <c r="B59" s="25"/>
      <c r="C59" s="26"/>
      <c r="D59" s="27"/>
    </row>
    <row r="60" spans="1:4" s="4" customFormat="1" ht="11.25" customHeight="1" x14ac:dyDescent="0.2">
      <c r="A60" s="167" t="s">
        <v>54</v>
      </c>
      <c r="B60" s="185"/>
      <c r="C60" s="185"/>
      <c r="D60" s="186"/>
    </row>
    <row r="61" spans="1:4" s="4" customFormat="1" ht="11.25" x14ac:dyDescent="0.2">
      <c r="A61" s="14">
        <v>4</v>
      </c>
      <c r="B61" s="118" t="s">
        <v>55</v>
      </c>
      <c r="C61" s="22"/>
      <c r="D61" s="23"/>
    </row>
    <row r="62" spans="1:4" s="4" customFormat="1" ht="11.25" x14ac:dyDescent="0.2">
      <c r="A62" s="14" t="s">
        <v>56</v>
      </c>
      <c r="B62" s="118" t="s">
        <v>57</v>
      </c>
      <c r="C62" s="22"/>
      <c r="D62" s="23"/>
    </row>
    <row r="63" spans="1:4" s="4" customFormat="1" ht="11.25" x14ac:dyDescent="0.2">
      <c r="A63" s="121"/>
      <c r="B63" s="116" t="s">
        <v>58</v>
      </c>
      <c r="C63" s="50">
        <v>0.2</v>
      </c>
      <c r="D63" s="61">
        <f t="shared" ref="D63:D70" si="0">ROUND(D$37*C63,2)</f>
        <v>328.17</v>
      </c>
    </row>
    <row r="64" spans="1:4" s="4" customFormat="1" ht="11.25" x14ac:dyDescent="0.2">
      <c r="A64" s="11"/>
      <c r="B64" s="12" t="s">
        <v>59</v>
      </c>
      <c r="C64" s="50">
        <v>1.4999999999999999E-2</v>
      </c>
      <c r="D64" s="61">
        <f t="shared" si="0"/>
        <v>24.61</v>
      </c>
    </row>
    <row r="65" spans="1:6" s="4" customFormat="1" ht="11.25" x14ac:dyDescent="0.2">
      <c r="A65" s="11"/>
      <c r="B65" s="12" t="s">
        <v>60</v>
      </c>
      <c r="C65" s="50">
        <v>0.01</v>
      </c>
      <c r="D65" s="61">
        <f t="shared" si="0"/>
        <v>16.41</v>
      </c>
    </row>
    <row r="66" spans="1:6" s="4" customFormat="1" ht="11.25" x14ac:dyDescent="0.2">
      <c r="A66" s="11"/>
      <c r="B66" s="12" t="s">
        <v>61</v>
      </c>
      <c r="C66" s="50">
        <v>2E-3</v>
      </c>
      <c r="D66" s="61">
        <f t="shared" si="0"/>
        <v>3.28</v>
      </c>
    </row>
    <row r="67" spans="1:6" s="4" customFormat="1" ht="11.25" x14ac:dyDescent="0.2">
      <c r="A67" s="11"/>
      <c r="B67" s="12" t="s">
        <v>62</v>
      </c>
      <c r="C67" s="50">
        <v>2.5000000000000001E-2</v>
      </c>
      <c r="D67" s="61">
        <f t="shared" si="0"/>
        <v>41.02</v>
      </c>
    </row>
    <row r="68" spans="1:6" s="4" customFormat="1" ht="11.25" x14ac:dyDescent="0.2">
      <c r="A68" s="11"/>
      <c r="B68" s="62" t="s">
        <v>63</v>
      </c>
      <c r="C68" s="50">
        <v>0.08</v>
      </c>
      <c r="D68" s="61">
        <f t="shared" si="0"/>
        <v>131.27000000000001</v>
      </c>
    </row>
    <row r="69" spans="1:6" s="4" customFormat="1" ht="11.25" x14ac:dyDescent="0.2">
      <c r="A69" s="11"/>
      <c r="B69" s="12" t="s">
        <v>64</v>
      </c>
      <c r="C69" s="16">
        <v>0.03</v>
      </c>
      <c r="D69" s="61">
        <f t="shared" si="0"/>
        <v>49.23</v>
      </c>
    </row>
    <row r="70" spans="1:6" s="4" customFormat="1" ht="11.25" x14ac:dyDescent="0.2">
      <c r="A70" s="11"/>
      <c r="B70" s="12" t="s">
        <v>65</v>
      </c>
      <c r="C70" s="50">
        <v>6.0000000000000001E-3</v>
      </c>
      <c r="D70" s="61">
        <f t="shared" si="0"/>
        <v>9.85</v>
      </c>
    </row>
    <row r="71" spans="1:6" s="4" customFormat="1" ht="11.25" customHeight="1" x14ac:dyDescent="0.2">
      <c r="A71" s="170" t="s">
        <v>66</v>
      </c>
      <c r="B71" s="176"/>
      <c r="C71" s="22">
        <f>SUM(C63:C70)</f>
        <v>0.3680000000000001</v>
      </c>
      <c r="D71" s="23">
        <f>SUM(D63:D70)</f>
        <v>603.84</v>
      </c>
    </row>
    <row r="72" spans="1:6" s="4" customFormat="1" ht="11.25" x14ac:dyDescent="0.2">
      <c r="A72" s="24"/>
      <c r="B72" s="25"/>
      <c r="C72" s="26"/>
      <c r="D72" s="27"/>
    </row>
    <row r="73" spans="1:6" s="4" customFormat="1" ht="11.25" x14ac:dyDescent="0.2">
      <c r="A73" s="117"/>
      <c r="B73" s="36"/>
      <c r="C73" s="37"/>
      <c r="D73" s="38"/>
    </row>
    <row r="74" spans="1:6" s="4" customFormat="1" ht="11.25" x14ac:dyDescent="0.2">
      <c r="A74" s="14" t="s">
        <v>67</v>
      </c>
      <c r="B74" s="36" t="s">
        <v>68</v>
      </c>
      <c r="C74" s="115"/>
      <c r="D74" s="116"/>
    </row>
    <row r="75" spans="1:6" s="4" customFormat="1" ht="11.25" x14ac:dyDescent="0.2">
      <c r="A75" s="11"/>
      <c r="B75" s="12" t="s">
        <v>69</v>
      </c>
      <c r="C75" s="16">
        <f>[1]TBL_REF!C12</f>
        <v>8.3299999999999999E-2</v>
      </c>
      <c r="D75" s="61">
        <f>ROUND($D$37*C75,2)</f>
        <v>136.68</v>
      </c>
    </row>
    <row r="76" spans="1:6" s="4" customFormat="1" ht="11.25" x14ac:dyDescent="0.2">
      <c r="A76" s="11"/>
      <c r="B76" s="12" t="s">
        <v>70</v>
      </c>
      <c r="C76" s="50">
        <f>C75/3</f>
        <v>2.7766666666666665E-2</v>
      </c>
      <c r="D76" s="61">
        <f>ROUND($D$37*C76,2)</f>
        <v>45.56</v>
      </c>
    </row>
    <row r="77" spans="1:6" s="4" customFormat="1" ht="11.25" customHeight="1" x14ac:dyDescent="0.2">
      <c r="A77" s="170" t="s">
        <v>71</v>
      </c>
      <c r="B77" s="176"/>
      <c r="C77" s="22">
        <f>SUM(C75:C76)</f>
        <v>0.11106666666666666</v>
      </c>
      <c r="D77" s="23">
        <f>SUM(D75:D76)</f>
        <v>182.24</v>
      </c>
    </row>
    <row r="78" spans="1:6" s="4" customFormat="1" ht="11.25" customHeight="1" x14ac:dyDescent="0.2">
      <c r="A78" s="170" t="s">
        <v>72</v>
      </c>
      <c r="B78" s="176"/>
      <c r="C78" s="22">
        <f>C71*C77</f>
        <v>4.0872533333333343E-2</v>
      </c>
      <c r="D78" s="23">
        <f>ROUND($D$77*C78,2)</f>
        <v>7.45</v>
      </c>
      <c r="F78" s="28"/>
    </row>
    <row r="79" spans="1:6" s="4" customFormat="1" ht="11.25" customHeight="1" x14ac:dyDescent="0.2">
      <c r="A79" s="170" t="s">
        <v>73</v>
      </c>
      <c r="B79" s="176"/>
      <c r="C79" s="22">
        <f>C77+C78</f>
        <v>0.1519392</v>
      </c>
      <c r="D79" s="23">
        <f>D77+D78</f>
        <v>189.69</v>
      </c>
    </row>
    <row r="80" spans="1:6" s="4" customFormat="1" ht="11.25" x14ac:dyDescent="0.2">
      <c r="A80" s="24"/>
      <c r="B80" s="120"/>
      <c r="C80" s="20"/>
      <c r="D80" s="21"/>
    </row>
    <row r="81" spans="1:6" s="4" customFormat="1" ht="11.25" x14ac:dyDescent="0.2">
      <c r="A81" s="117"/>
      <c r="B81" s="36"/>
      <c r="C81" s="37"/>
      <c r="D81" s="38"/>
    </row>
    <row r="82" spans="1:6" s="4" customFormat="1" ht="11.25" x14ac:dyDescent="0.2">
      <c r="A82" s="14" t="s">
        <v>74</v>
      </c>
      <c r="B82" s="36" t="s">
        <v>75</v>
      </c>
      <c r="C82" s="115"/>
      <c r="D82" s="116"/>
    </row>
    <row r="83" spans="1:6" s="4" customFormat="1" ht="11.25" x14ac:dyDescent="0.2">
      <c r="A83" s="11"/>
      <c r="B83" s="12" t="s">
        <v>75</v>
      </c>
      <c r="C83" s="16">
        <v>2.9999999999999997E-4</v>
      </c>
      <c r="D83" s="61">
        <f>ROUND($D$37*C83,2)</f>
        <v>0.49</v>
      </c>
    </row>
    <row r="84" spans="1:6" s="4" customFormat="1" ht="11.25" customHeight="1" x14ac:dyDescent="0.2">
      <c r="A84" s="170" t="s">
        <v>71</v>
      </c>
      <c r="B84" s="176"/>
      <c r="C84" s="22">
        <f>SUM(C83:C83)</f>
        <v>2.9999999999999997E-4</v>
      </c>
      <c r="D84" s="23">
        <f>SUM(D83:D83)</f>
        <v>0.49</v>
      </c>
    </row>
    <row r="85" spans="1:6" s="4" customFormat="1" ht="11.25" customHeight="1" x14ac:dyDescent="0.2">
      <c r="A85" s="170" t="s">
        <v>76</v>
      </c>
      <c r="B85" s="176"/>
      <c r="C85" s="22">
        <f>C84*C71</f>
        <v>1.1040000000000003E-4</v>
      </c>
      <c r="D85" s="23">
        <f>ROUND($D$84*C85,2)</f>
        <v>0</v>
      </c>
      <c r="F85" s="28"/>
    </row>
    <row r="86" spans="1:6" s="4" customFormat="1" ht="11.25" customHeight="1" x14ac:dyDescent="0.2">
      <c r="A86" s="170" t="s">
        <v>77</v>
      </c>
      <c r="B86" s="176"/>
      <c r="C86" s="22">
        <f>C84+C85</f>
        <v>4.104E-4</v>
      </c>
      <c r="D86" s="23">
        <f>D84+D85</f>
        <v>0.49</v>
      </c>
    </row>
    <row r="87" spans="1:6" s="4" customFormat="1" ht="11.25" x14ac:dyDescent="0.2">
      <c r="A87" s="24"/>
      <c r="B87" s="120"/>
      <c r="C87" s="20"/>
      <c r="D87" s="21"/>
    </row>
    <row r="88" spans="1:6" s="4" customFormat="1" ht="11.25" x14ac:dyDescent="0.2">
      <c r="A88" s="63"/>
      <c r="B88" s="64"/>
      <c r="C88" s="65"/>
      <c r="D88" s="66"/>
    </row>
    <row r="89" spans="1:6" s="30" customFormat="1" ht="11.25" x14ac:dyDescent="0.2">
      <c r="A89" s="29" t="s">
        <v>78</v>
      </c>
      <c r="B89" s="67" t="s">
        <v>79</v>
      </c>
      <c r="C89" s="68"/>
      <c r="D89" s="113"/>
    </row>
    <row r="90" spans="1:6" s="30" customFormat="1" ht="11.25" x14ac:dyDescent="0.2">
      <c r="A90" s="31"/>
      <c r="B90" s="69" t="s">
        <v>80</v>
      </c>
      <c r="C90" s="16">
        <v>4.1999999999999997E-3</v>
      </c>
      <c r="D90" s="70">
        <f t="shared" ref="D90:D96" si="1">ROUND($D$37*C90,2)</f>
        <v>6.89</v>
      </c>
    </row>
    <row r="91" spans="1:6" s="30" customFormat="1" ht="11.25" x14ac:dyDescent="0.2">
      <c r="A91" s="31"/>
      <c r="B91" s="45" t="s">
        <v>81</v>
      </c>
      <c r="C91" s="16">
        <f>C68*C90</f>
        <v>3.3599999999999998E-4</v>
      </c>
      <c r="D91" s="70">
        <f>ROUND($D$90*C91,2)</f>
        <v>0</v>
      </c>
    </row>
    <row r="92" spans="1:6" s="30" customFormat="1" ht="11.25" x14ac:dyDescent="0.2">
      <c r="A92" s="31"/>
      <c r="B92" s="45" t="s">
        <v>82</v>
      </c>
      <c r="C92" s="89">
        <v>9.9999999999999995E-7</v>
      </c>
      <c r="D92" s="70">
        <f t="shared" si="1"/>
        <v>0</v>
      </c>
    </row>
    <row r="93" spans="1:6" s="30" customFormat="1" ht="11.25" x14ac:dyDescent="0.2">
      <c r="A93" s="31"/>
      <c r="B93" s="45" t="s">
        <v>83</v>
      </c>
      <c r="C93" s="16">
        <v>1.9400000000000001E-2</v>
      </c>
      <c r="D93" s="70">
        <f t="shared" si="1"/>
        <v>31.83</v>
      </c>
      <c r="E93" s="32"/>
      <c r="F93" s="32"/>
    </row>
    <row r="94" spans="1:6" s="30" customFormat="1" ht="11.25" x14ac:dyDescent="0.2">
      <c r="A94" s="31"/>
      <c r="B94" s="45" t="s">
        <v>84</v>
      </c>
      <c r="C94" s="16">
        <f>C71*C93</f>
        <v>7.1392000000000027E-3</v>
      </c>
      <c r="D94" s="70">
        <f>ROUND($D$93*C94,2)</f>
        <v>0.23</v>
      </c>
    </row>
    <row r="95" spans="1:6" s="30" customFormat="1" ht="11.25" x14ac:dyDescent="0.2">
      <c r="A95" s="31"/>
      <c r="B95" s="45" t="s">
        <v>85</v>
      </c>
      <c r="C95" s="16">
        <v>1E-4</v>
      </c>
      <c r="D95" s="70">
        <f t="shared" si="1"/>
        <v>0.16</v>
      </c>
    </row>
    <row r="96" spans="1:6" s="30" customFormat="1" ht="11.25" x14ac:dyDescent="0.2">
      <c r="A96" s="31"/>
      <c r="B96" s="45" t="s">
        <v>86</v>
      </c>
      <c r="C96" s="16">
        <v>4.36E-2</v>
      </c>
      <c r="D96" s="70">
        <f t="shared" si="1"/>
        <v>71.540000000000006</v>
      </c>
    </row>
    <row r="97" spans="1:6" s="30" customFormat="1" ht="11.25" customHeight="1" x14ac:dyDescent="0.2">
      <c r="A97" s="177" t="s">
        <v>87</v>
      </c>
      <c r="B97" s="178"/>
      <c r="C97" s="43">
        <f>SUM(C90:C96)</f>
        <v>7.4776200000000001E-2</v>
      </c>
      <c r="D97" s="44">
        <f>SUM(D90:D96)</f>
        <v>110.65</v>
      </c>
    </row>
    <row r="98" spans="1:6" s="4" customFormat="1" ht="11.25" x14ac:dyDescent="0.2">
      <c r="A98" s="24"/>
      <c r="B98" s="120"/>
      <c r="C98" s="20"/>
      <c r="D98" s="21"/>
    </row>
    <row r="99" spans="1:6" s="4" customFormat="1" ht="11.25" x14ac:dyDescent="0.2">
      <c r="A99" s="14" t="s">
        <v>88</v>
      </c>
      <c r="B99" s="36" t="s">
        <v>89</v>
      </c>
      <c r="C99" s="49"/>
      <c r="D99" s="116"/>
    </row>
    <row r="100" spans="1:6" s="4" customFormat="1" ht="11.25" x14ac:dyDescent="0.2">
      <c r="A100" s="11"/>
      <c r="B100" s="49" t="s">
        <v>90</v>
      </c>
      <c r="C100" s="16">
        <f>[1]TBL_REF!C26</f>
        <v>8.3299999999999999E-2</v>
      </c>
      <c r="D100" s="61">
        <f>ROUND($D$37*C100,2)</f>
        <v>136.68</v>
      </c>
    </row>
    <row r="101" spans="1:6" s="4" customFormat="1" ht="11.25" x14ac:dyDescent="0.2">
      <c r="A101" s="11"/>
      <c r="B101" s="49" t="s">
        <v>91</v>
      </c>
      <c r="C101" s="16">
        <v>1.66E-2</v>
      </c>
      <c r="D101" s="61">
        <f>ROUND($D$37*C101,2)</f>
        <v>27.24</v>
      </c>
    </row>
    <row r="102" spans="1:6" s="4" customFormat="1" ht="11.25" x14ac:dyDescent="0.2">
      <c r="A102" s="11"/>
      <c r="B102" s="49" t="s">
        <v>92</v>
      </c>
      <c r="C102" s="16">
        <v>2.0000000000000001E-4</v>
      </c>
      <c r="D102" s="61">
        <f>ROUND($D$37*C102,2)</f>
        <v>0.33</v>
      </c>
    </row>
    <row r="103" spans="1:6" s="4" customFormat="1" ht="11.25" x14ac:dyDescent="0.2">
      <c r="A103" s="11"/>
      <c r="B103" s="12" t="s">
        <v>93</v>
      </c>
      <c r="C103" s="16">
        <v>8.2000000000000007E-3</v>
      </c>
      <c r="D103" s="61">
        <f>ROUND($D$37*C103,2)</f>
        <v>13.45</v>
      </c>
    </row>
    <row r="104" spans="1:6" s="4" customFormat="1" ht="11.25" x14ac:dyDescent="0.2">
      <c r="A104" s="11"/>
      <c r="B104" s="12" t="s">
        <v>94</v>
      </c>
      <c r="C104" s="16">
        <v>2.9999999999999997E-4</v>
      </c>
      <c r="D104" s="61">
        <f>ROUND($D$37*C104,2)</f>
        <v>0.49</v>
      </c>
      <c r="F104" s="33"/>
    </row>
    <row r="105" spans="1:6" s="4" customFormat="1" ht="11.25" x14ac:dyDescent="0.2">
      <c r="A105" s="18"/>
      <c r="B105" s="34" t="s">
        <v>40</v>
      </c>
      <c r="C105" s="16">
        <v>0</v>
      </c>
      <c r="D105" s="17"/>
      <c r="F105" s="33"/>
    </row>
    <row r="106" spans="1:6" s="4" customFormat="1" ht="11.25" customHeight="1" x14ac:dyDescent="0.2">
      <c r="A106" s="170" t="s">
        <v>71</v>
      </c>
      <c r="B106" s="176"/>
      <c r="C106" s="22">
        <f>SUM(C100:C105)</f>
        <v>0.1086</v>
      </c>
      <c r="D106" s="23">
        <f>SUM(D100:D104)</f>
        <v>178.19000000000003</v>
      </c>
    </row>
    <row r="107" spans="1:6" s="4" customFormat="1" ht="11.25" customHeight="1" x14ac:dyDescent="0.2">
      <c r="A107" s="170" t="s">
        <v>95</v>
      </c>
      <c r="B107" s="176"/>
      <c r="C107" s="22">
        <f>C106*C71</f>
        <v>3.9964800000000016E-2</v>
      </c>
      <c r="D107" s="23">
        <f>ROUND($D$106*C107,2)</f>
        <v>7.12</v>
      </c>
    </row>
    <row r="108" spans="1:6" s="4" customFormat="1" ht="11.25" customHeight="1" x14ac:dyDescent="0.2">
      <c r="A108" s="170" t="s">
        <v>96</v>
      </c>
      <c r="B108" s="176"/>
      <c r="C108" s="22">
        <f>C106+C107</f>
        <v>0.14856480000000002</v>
      </c>
      <c r="D108" s="23">
        <f>D107+D106</f>
        <v>185.31000000000003</v>
      </c>
    </row>
    <row r="109" spans="1:6" s="4" customFormat="1" ht="11.25" x14ac:dyDescent="0.2">
      <c r="A109" s="24"/>
      <c r="B109" s="120"/>
      <c r="C109" s="20"/>
      <c r="D109" s="21"/>
    </row>
    <row r="110" spans="1:6" s="4" customFormat="1" ht="11.25" x14ac:dyDescent="0.2">
      <c r="A110" s="117">
        <v>4</v>
      </c>
      <c r="B110" s="118" t="s">
        <v>97</v>
      </c>
      <c r="C110" s="22"/>
      <c r="D110" s="23"/>
    </row>
    <row r="111" spans="1:6" s="4" customFormat="1" ht="11.25" x14ac:dyDescent="0.2">
      <c r="A111" s="117" t="str">
        <f>A62</f>
        <v>4.1</v>
      </c>
      <c r="B111" s="118" t="str">
        <f>A71</f>
        <v>Total dos Encargos Sociais</v>
      </c>
      <c r="C111" s="71">
        <f>C71</f>
        <v>0.3680000000000001</v>
      </c>
      <c r="D111" s="72">
        <f>D71</f>
        <v>603.84</v>
      </c>
    </row>
    <row r="112" spans="1:6" s="4" customFormat="1" ht="11.25" x14ac:dyDescent="0.2">
      <c r="A112" s="117" t="str">
        <f>A74</f>
        <v>4.2</v>
      </c>
      <c r="B112" s="118" t="str">
        <f>A79</f>
        <v>Total do 13º salário e Adicional de férias</v>
      </c>
      <c r="C112" s="71">
        <f>C79</f>
        <v>0.1519392</v>
      </c>
      <c r="D112" s="72">
        <f>D79</f>
        <v>189.69</v>
      </c>
    </row>
    <row r="113" spans="1:7" s="4" customFormat="1" ht="11.25" x14ac:dyDescent="0.2">
      <c r="A113" s="117" t="str">
        <f>A82</f>
        <v>4.3</v>
      </c>
      <c r="B113" s="118" t="str">
        <f>A86</f>
        <v>Total do Afastamento de Maternidade</v>
      </c>
      <c r="C113" s="71">
        <f>C86</f>
        <v>4.104E-4</v>
      </c>
      <c r="D113" s="72">
        <f>D86</f>
        <v>0.49</v>
      </c>
    </row>
    <row r="114" spans="1:7" s="4" customFormat="1" ht="11.25" x14ac:dyDescent="0.2">
      <c r="A114" s="117" t="str">
        <f>A89</f>
        <v xml:space="preserve">4.4 </v>
      </c>
      <c r="B114" s="118" t="str">
        <f>A97</f>
        <v>Total  de Custo de Rescisão</v>
      </c>
      <c r="C114" s="71">
        <f>C97</f>
        <v>7.4776200000000001E-2</v>
      </c>
      <c r="D114" s="72">
        <f>D97</f>
        <v>110.65</v>
      </c>
    </row>
    <row r="115" spans="1:7" s="4" customFormat="1" ht="11.25" x14ac:dyDescent="0.2">
      <c r="A115" s="117" t="str">
        <f>A99</f>
        <v xml:space="preserve">4.5 </v>
      </c>
      <c r="B115" s="118" t="str">
        <f>A108</f>
        <v>Total de Custo reposição por profissional ausente</v>
      </c>
      <c r="C115" s="71">
        <f>C108</f>
        <v>0.14856480000000002</v>
      </c>
      <c r="D115" s="72">
        <f>D108</f>
        <v>185.31000000000003</v>
      </c>
    </row>
    <row r="116" spans="1:7" s="4" customFormat="1" ht="11.25" x14ac:dyDescent="0.2">
      <c r="A116" s="179" t="s">
        <v>98</v>
      </c>
      <c r="B116" s="180"/>
      <c r="C116" s="22">
        <f>SUM(C111:C115)</f>
        <v>0.74369060000000009</v>
      </c>
      <c r="D116" s="23">
        <f>SUM(D111:D115)</f>
        <v>1089.98</v>
      </c>
      <c r="E116" s="35"/>
    </row>
    <row r="117" spans="1:7" s="4" customFormat="1" ht="11.25" x14ac:dyDescent="0.2">
      <c r="A117" s="117"/>
      <c r="B117" s="36"/>
      <c r="C117" s="37"/>
      <c r="D117" s="38"/>
    </row>
    <row r="118" spans="1:7" s="4" customFormat="1" ht="11.25" x14ac:dyDescent="0.2">
      <c r="A118" s="172" t="s">
        <v>99</v>
      </c>
      <c r="B118" s="173"/>
      <c r="C118" s="22"/>
      <c r="D118" s="23">
        <f>D37+D48+D57+D116</f>
        <v>3248.8593333333333</v>
      </c>
      <c r="E118" s="28"/>
    </row>
    <row r="119" spans="1:7" s="4" customFormat="1" ht="11.25" x14ac:dyDescent="0.2">
      <c r="A119" s="24"/>
      <c r="B119" s="25"/>
      <c r="C119" s="26"/>
      <c r="D119" s="27"/>
    </row>
    <row r="120" spans="1:7" s="10" customFormat="1" ht="11.25" hidden="1" x14ac:dyDescent="0.2">
      <c r="A120" s="119"/>
      <c r="B120" s="25"/>
      <c r="C120" s="26"/>
      <c r="D120" s="27"/>
    </row>
    <row r="121" spans="1:7" s="30" customFormat="1" ht="11.25" x14ac:dyDescent="0.2">
      <c r="A121" s="165" t="s">
        <v>100</v>
      </c>
      <c r="B121" s="174"/>
      <c r="C121" s="174"/>
      <c r="D121" s="175"/>
    </row>
    <row r="122" spans="1:7" s="30" customFormat="1" ht="11.25" x14ac:dyDescent="0.2">
      <c r="A122" s="39">
        <v>5</v>
      </c>
      <c r="B122" s="40" t="s">
        <v>101</v>
      </c>
      <c r="C122" s="43"/>
      <c r="D122" s="44"/>
    </row>
    <row r="123" spans="1:7" s="42" customFormat="1" ht="11.25" x14ac:dyDescent="0.2">
      <c r="A123" s="39" t="s">
        <v>14</v>
      </c>
      <c r="B123" s="40" t="s">
        <v>102</v>
      </c>
      <c r="C123" s="50">
        <v>0.06</v>
      </c>
      <c r="D123" s="44">
        <f>C123*D118</f>
        <v>194.93155999999999</v>
      </c>
      <c r="E123" s="41"/>
      <c r="G123" s="28"/>
    </row>
    <row r="124" spans="1:7" s="30" customFormat="1" ht="11.25" x14ac:dyDescent="0.2">
      <c r="A124" s="39" t="s">
        <v>16</v>
      </c>
      <c r="B124" s="40" t="s">
        <v>103</v>
      </c>
      <c r="C124" s="43"/>
      <c r="D124" s="44"/>
      <c r="E124" s="41"/>
    </row>
    <row r="125" spans="1:7" s="30" customFormat="1" ht="11.25" x14ac:dyDescent="0.2">
      <c r="A125" s="31" t="s">
        <v>104</v>
      </c>
      <c r="B125" s="45" t="s">
        <v>105</v>
      </c>
      <c r="C125" s="71">
        <v>0.03</v>
      </c>
      <c r="D125" s="93">
        <f>($D$118+$D$123+$D$128)/(1-($C$125+$C$126+$C$127))*C125</f>
        <v>120.62187714725272</v>
      </c>
      <c r="E125" s="92"/>
    </row>
    <row r="126" spans="1:7" s="30" customFormat="1" ht="11.25" x14ac:dyDescent="0.2">
      <c r="A126" s="31" t="s">
        <v>106</v>
      </c>
      <c r="B126" s="45" t="s">
        <v>107</v>
      </c>
      <c r="C126" s="71">
        <v>6.4999999999999997E-3</v>
      </c>
      <c r="D126" s="93">
        <f>($D$118+$D$123+$D$128)/(1-($C$125+$C$126+$C$127))*C126</f>
        <v>26.13474004857142</v>
      </c>
      <c r="E126" s="41"/>
    </row>
    <row r="127" spans="1:7" s="30" customFormat="1" ht="11.25" x14ac:dyDescent="0.2">
      <c r="A127" s="31" t="s">
        <v>108</v>
      </c>
      <c r="B127" s="45" t="s">
        <v>109</v>
      </c>
      <c r="C127" s="71">
        <v>0.05</v>
      </c>
      <c r="D127" s="93">
        <f>($D$118+$D$123+$D$128)/(1-($C$125+$C$126+$C$127))*C127</f>
        <v>201.03646191208787</v>
      </c>
      <c r="E127" s="41"/>
    </row>
    <row r="128" spans="1:7" s="42" customFormat="1" ht="11.25" x14ac:dyDescent="0.2">
      <c r="A128" s="29" t="s">
        <v>18</v>
      </c>
      <c r="B128" s="46" t="s">
        <v>110</v>
      </c>
      <c r="C128" s="50">
        <v>6.6538669999999994E-2</v>
      </c>
      <c r="D128" s="44">
        <f>C128*(D118+D123)</f>
        <v>229.14526580051185</v>
      </c>
      <c r="E128" s="41"/>
    </row>
    <row r="129" spans="1:6" s="30" customFormat="1" ht="11.25" x14ac:dyDescent="0.2">
      <c r="A129" s="165" t="s">
        <v>111</v>
      </c>
      <c r="B129" s="166"/>
      <c r="C129" s="43">
        <f>SUM(C123:C128)</f>
        <v>0.21303867000000001</v>
      </c>
      <c r="D129" s="73">
        <f>SUM(D123:D128)</f>
        <v>771.8699049084239</v>
      </c>
      <c r="E129" s="47"/>
      <c r="F129" s="48"/>
    </row>
    <row r="130" spans="1:6" s="4" customFormat="1" ht="11.25" x14ac:dyDescent="0.2">
      <c r="A130" s="167"/>
      <c r="B130" s="168"/>
      <c r="C130" s="168"/>
      <c r="D130" s="169"/>
    </row>
    <row r="131" spans="1:6" s="4" customFormat="1" ht="11.25" customHeight="1" x14ac:dyDescent="0.2">
      <c r="A131" s="167" t="s">
        <v>112</v>
      </c>
      <c r="B131" s="169"/>
      <c r="C131" s="14"/>
      <c r="D131" s="14"/>
    </row>
    <row r="132" spans="1:6" s="4" customFormat="1" ht="11.25" x14ac:dyDescent="0.2">
      <c r="A132" s="11"/>
      <c r="B132" s="49" t="s">
        <v>113</v>
      </c>
      <c r="C132" s="50"/>
      <c r="D132" s="74">
        <f>D37</f>
        <v>1640.846</v>
      </c>
    </row>
    <row r="133" spans="1:6" s="4" customFormat="1" ht="11.25" x14ac:dyDescent="0.2">
      <c r="A133" s="11"/>
      <c r="B133" s="49" t="s">
        <v>114</v>
      </c>
      <c r="C133" s="50"/>
      <c r="D133" s="74">
        <f>D48</f>
        <v>370.4</v>
      </c>
    </row>
    <row r="134" spans="1:6" s="4" customFormat="1" ht="11.25" x14ac:dyDescent="0.2">
      <c r="A134" s="51"/>
      <c r="B134" s="49" t="s">
        <v>115</v>
      </c>
      <c r="C134" s="50"/>
      <c r="D134" s="74">
        <f>D57</f>
        <v>147.63333333333333</v>
      </c>
    </row>
    <row r="135" spans="1:6" s="4" customFormat="1" ht="11.25" x14ac:dyDescent="0.2">
      <c r="A135" s="51"/>
      <c r="B135" s="49" t="s">
        <v>97</v>
      </c>
      <c r="C135" s="50"/>
      <c r="D135" s="74">
        <f>D116</f>
        <v>1089.98</v>
      </c>
    </row>
    <row r="136" spans="1:6" s="4" customFormat="1" ht="11.25" customHeight="1" x14ac:dyDescent="0.2">
      <c r="A136" s="167" t="s">
        <v>116</v>
      </c>
      <c r="B136" s="169"/>
      <c r="C136" s="22"/>
      <c r="D136" s="72">
        <f>SUM(D132:D135)</f>
        <v>3248.8593333333333</v>
      </c>
    </row>
    <row r="137" spans="1:6" s="4" customFormat="1" ht="11.25" x14ac:dyDescent="0.2">
      <c r="A137" s="114"/>
      <c r="B137" s="116" t="s">
        <v>117</v>
      </c>
      <c r="C137" s="22"/>
      <c r="D137" s="72">
        <f>D129</f>
        <v>771.8699049084239</v>
      </c>
    </row>
    <row r="138" spans="1:6" s="4" customFormat="1" ht="15" customHeight="1" x14ac:dyDescent="0.2">
      <c r="A138" s="170" t="s">
        <v>118</v>
      </c>
      <c r="B138" s="171"/>
      <c r="C138" s="124">
        <v>4</v>
      </c>
      <c r="D138" s="23">
        <f>D136+D137</f>
        <v>4020.7292382417572</v>
      </c>
      <c r="E138" s="215">
        <f>D139*12</f>
        <v>192995.00343560433</v>
      </c>
      <c r="F138" s="215">
        <v>192995</v>
      </c>
    </row>
    <row r="139" spans="1:6" s="4" customFormat="1" ht="15" customHeight="1" x14ac:dyDescent="0.2">
      <c r="A139" s="170" t="s">
        <v>119</v>
      </c>
      <c r="B139" s="171"/>
      <c r="C139" s="22"/>
      <c r="D139" s="23">
        <f>D138*C138</f>
        <v>16082.916952967029</v>
      </c>
      <c r="E139" s="28">
        <v>17530.240000000002</v>
      </c>
    </row>
    <row r="140" spans="1:6" s="4" customFormat="1" ht="11.25" x14ac:dyDescent="0.2">
      <c r="A140" s="53"/>
      <c r="B140" s="53"/>
      <c r="C140" s="53"/>
      <c r="D140" s="53"/>
      <c r="E140" s="52">
        <f>E139/D139</f>
        <v>1.0899913275225839</v>
      </c>
    </row>
    <row r="141" spans="1:6" s="4" customFormat="1" ht="11.25" x14ac:dyDescent="0.2">
      <c r="D141" s="54"/>
    </row>
    <row r="142" spans="1:6" s="1" customFormat="1" ht="11.25" customHeight="1" x14ac:dyDescent="0.2">
      <c r="A142" s="159" t="s">
        <v>120</v>
      </c>
      <c r="B142" s="160"/>
      <c r="C142" s="160"/>
      <c r="D142" s="161"/>
    </row>
    <row r="143" spans="1:6" s="1" customFormat="1" ht="11.25" x14ac:dyDescent="0.2">
      <c r="A143" s="80"/>
      <c r="B143" s="81"/>
      <c r="C143" s="82"/>
      <c r="D143" s="83"/>
    </row>
    <row r="144" spans="1:6" s="1" customFormat="1" ht="22.5" x14ac:dyDescent="0.2">
      <c r="A144" s="80"/>
      <c r="B144" s="84" t="s">
        <v>121</v>
      </c>
      <c r="C144" s="85">
        <f>D153</f>
        <v>7.1526933333333348E-2</v>
      </c>
      <c r="D144" s="90">
        <f>A155+B155+C155</f>
        <v>9.0892199999999992</v>
      </c>
    </row>
    <row r="145" spans="1:4" s="1" customFormat="1" ht="11.25" x14ac:dyDescent="0.2">
      <c r="A145" s="80"/>
      <c r="B145" s="86" t="s">
        <v>122</v>
      </c>
      <c r="C145" s="85">
        <v>0.1111</v>
      </c>
      <c r="D145" s="90">
        <f>D77</f>
        <v>182.24</v>
      </c>
    </row>
    <row r="146" spans="1:4" s="1" customFormat="1" ht="11.25" x14ac:dyDescent="0.2">
      <c r="A146" s="81"/>
      <c r="B146" s="86" t="s">
        <v>123</v>
      </c>
      <c r="C146" s="85">
        <v>8.3299999999999999E-2</v>
      </c>
      <c r="D146" s="90">
        <f>D100</f>
        <v>136.68</v>
      </c>
    </row>
    <row r="147" spans="1:4" s="1" customFormat="1" ht="11.25" x14ac:dyDescent="0.2">
      <c r="A147" s="81"/>
      <c r="B147" s="86" t="s">
        <v>124</v>
      </c>
      <c r="C147" s="85">
        <v>4.2500000000000003E-2</v>
      </c>
      <c r="D147" s="83">
        <f>D96</f>
        <v>71.540000000000006</v>
      </c>
    </row>
    <row r="148" spans="1:4" s="1" customFormat="1" ht="11.25" x14ac:dyDescent="0.2">
      <c r="A148" s="81"/>
      <c r="B148" s="81" t="s">
        <v>125</v>
      </c>
      <c r="C148" s="85">
        <v>0.30649999999999999</v>
      </c>
      <c r="D148" s="83"/>
    </row>
    <row r="149" spans="1:4" s="1" customFormat="1" ht="11.25" x14ac:dyDescent="0.2">
      <c r="A149" s="162" t="s">
        <v>126</v>
      </c>
      <c r="B149" s="163"/>
      <c r="C149" s="164"/>
      <c r="D149" s="87">
        <f>D144+D145+D146+D147</f>
        <v>399.54922000000005</v>
      </c>
    </row>
    <row r="150" spans="1:4" s="1" customFormat="1" ht="11.25" x14ac:dyDescent="0.2"/>
    <row r="151" spans="1:4" s="1" customFormat="1" ht="11.25" x14ac:dyDescent="0.2"/>
    <row r="152" spans="1:4" s="1" customFormat="1" ht="11.25" x14ac:dyDescent="0.2">
      <c r="A152" s="88" t="s">
        <v>90</v>
      </c>
      <c r="B152" s="91" t="s">
        <v>127</v>
      </c>
      <c r="C152" s="75" t="s">
        <v>128</v>
      </c>
    </row>
    <row r="153" spans="1:4" s="1" customFormat="1" ht="11.25" x14ac:dyDescent="0.2">
      <c r="A153" s="76">
        <f>C71*C75</f>
        <v>3.0654400000000009E-2</v>
      </c>
      <c r="B153" s="76">
        <f>C71*C76</f>
        <v>1.0218133333333336E-2</v>
      </c>
      <c r="C153" s="76">
        <f>C71*C100</f>
        <v>3.0654400000000009E-2</v>
      </c>
      <c r="D153" s="76">
        <f>SUM(A153:C153)</f>
        <v>7.1526933333333348E-2</v>
      </c>
    </row>
    <row r="154" spans="1:4" s="1" customFormat="1" ht="11.25" x14ac:dyDescent="0.2">
      <c r="A154" s="77">
        <v>3.15E-2</v>
      </c>
      <c r="B154" s="77">
        <v>1.0500000000000001E-2</v>
      </c>
      <c r="C154" s="77">
        <v>3.15E-2</v>
      </c>
    </row>
    <row r="155" spans="1:4" s="1" customFormat="1" ht="11.25" x14ac:dyDescent="0.2">
      <c r="A155" s="78">
        <f>A154*D100</f>
        <v>4.3054199999999998</v>
      </c>
      <c r="B155" s="78">
        <f>B154*D76</f>
        <v>0.47838000000000003</v>
      </c>
      <c r="C155" s="78">
        <f>C154*D75</f>
        <v>4.3054199999999998</v>
      </c>
    </row>
    <row r="156" spans="1:4" s="1" customFormat="1" ht="11.25" x14ac:dyDescent="0.2"/>
    <row r="157" spans="1:4" s="1" customFormat="1" ht="11.25" x14ac:dyDescent="0.2"/>
    <row r="158" spans="1:4" s="1" customFormat="1" ht="11.25" x14ac:dyDescent="0.2"/>
    <row r="159" spans="1:4" s="1" customFormat="1" ht="11.25" x14ac:dyDescent="0.2"/>
    <row r="160" spans="1:4" s="1" customFormat="1" ht="11.25" x14ac:dyDescent="0.2"/>
    <row r="161" s="1" customFormat="1" ht="11.25" x14ac:dyDescent="0.2"/>
    <row r="162" s="1" customFormat="1" ht="11.25" x14ac:dyDescent="0.2"/>
    <row r="163" s="1" customFormat="1" ht="11.25" x14ac:dyDescent="0.2"/>
    <row r="164" s="1" customFormat="1" ht="11.25" x14ac:dyDescent="0.2"/>
    <row r="165" s="1" customFormat="1" ht="11.25" x14ac:dyDescent="0.2"/>
    <row r="166" s="1" customFormat="1" ht="11.25" x14ac:dyDescent="0.2"/>
    <row r="167" s="1" customFormat="1" ht="11.25" x14ac:dyDescent="0.2"/>
    <row r="168" s="1" customFormat="1" ht="11.25" x14ac:dyDescent="0.2"/>
    <row r="169" s="1" customFormat="1" ht="11.25" x14ac:dyDescent="0.2"/>
    <row r="170" s="1" customFormat="1" ht="11.25" x14ac:dyDescent="0.2"/>
    <row r="171" s="1" customFormat="1" ht="11.25" x14ac:dyDescent="0.2"/>
    <row r="172" s="1" customFormat="1" ht="11.25" x14ac:dyDescent="0.2"/>
    <row r="173" s="1" customFormat="1" ht="11.25" x14ac:dyDescent="0.2"/>
    <row r="174" s="1" customFormat="1" ht="11.25" x14ac:dyDescent="0.2"/>
    <row r="175" s="1" customFormat="1" ht="11.25" x14ac:dyDescent="0.2"/>
    <row r="176" s="1" customFormat="1" ht="11.25" x14ac:dyDescent="0.2"/>
    <row r="177" s="1" customFormat="1" ht="11.25" x14ac:dyDescent="0.2"/>
    <row r="178" s="1" customFormat="1" ht="11.25" x14ac:dyDescent="0.2"/>
    <row r="179" s="1" customFormat="1" ht="11.25" x14ac:dyDescent="0.2"/>
    <row r="180" s="1" customFormat="1" ht="11.25" x14ac:dyDescent="0.2"/>
    <row r="181" s="1" customFormat="1" ht="11.25" x14ac:dyDescent="0.2"/>
    <row r="182" s="1" customFormat="1" ht="11.25" x14ac:dyDescent="0.2"/>
    <row r="183" s="1" customFormat="1" ht="11.25" x14ac:dyDescent="0.2"/>
    <row r="184" s="1" customFormat="1" ht="11.25" x14ac:dyDescent="0.2"/>
    <row r="185" s="1" customFormat="1" ht="11.25" x14ac:dyDescent="0.2"/>
    <row r="186" s="1" customFormat="1" ht="11.25" x14ac:dyDescent="0.2"/>
    <row r="187" s="1" customFormat="1" ht="11.25" x14ac:dyDescent="0.2"/>
  </sheetData>
  <mergeCells count="51">
    <mergeCell ref="A2:D2"/>
    <mergeCell ref="A3:D3"/>
    <mergeCell ref="A4:D4"/>
    <mergeCell ref="A7:B7"/>
    <mergeCell ref="C7:D7"/>
    <mergeCell ref="A8:B8"/>
    <mergeCell ref="C8:D8"/>
    <mergeCell ref="A9:B9"/>
    <mergeCell ref="C9:D9"/>
    <mergeCell ref="A10:D10"/>
    <mergeCell ref="C11:D11"/>
    <mergeCell ref="C12:D12"/>
    <mergeCell ref="C13:D13"/>
    <mergeCell ref="C14:D14"/>
    <mergeCell ref="C15:D15"/>
    <mergeCell ref="C16:D16"/>
    <mergeCell ref="C17:D17"/>
    <mergeCell ref="C20:D20"/>
    <mergeCell ref="C21:D21"/>
    <mergeCell ref="C22:D22"/>
    <mergeCell ref="C23:D23"/>
    <mergeCell ref="A26:D26"/>
    <mergeCell ref="C27:D27"/>
    <mergeCell ref="A37:B37"/>
    <mergeCell ref="A40:D40"/>
    <mergeCell ref="A48:B48"/>
    <mergeCell ref="A51:D51"/>
    <mergeCell ref="A57:B57"/>
    <mergeCell ref="A60:D60"/>
    <mergeCell ref="A71:B71"/>
    <mergeCell ref="A77:B77"/>
    <mergeCell ref="A78:B78"/>
    <mergeCell ref="A79:B79"/>
    <mergeCell ref="A84:B84"/>
    <mergeCell ref="A85:B85"/>
    <mergeCell ref="A86:B86"/>
    <mergeCell ref="A97:B97"/>
    <mergeCell ref="A106:B106"/>
    <mergeCell ref="A107:B107"/>
    <mergeCell ref="A108:B108"/>
    <mergeCell ref="A116:B116"/>
    <mergeCell ref="A118:B118"/>
    <mergeCell ref="A121:D121"/>
    <mergeCell ref="A142:D142"/>
    <mergeCell ref="A149:C149"/>
    <mergeCell ref="A129:B129"/>
    <mergeCell ref="A130:D130"/>
    <mergeCell ref="A131:B131"/>
    <mergeCell ref="A136:B136"/>
    <mergeCell ref="A138:B138"/>
    <mergeCell ref="A139:B139"/>
  </mergeCells>
  <pageMargins left="0.7" right="0.7" top="0.75" bottom="0.75" header="0.3" footer="0.3"/>
  <pageSetup paperSize="9" scale="76" orientation="portrait" r:id="rId1"/>
  <headerFooter alignWithMargins="0"/>
  <rowBreaks count="1" manualBreakCount="1">
    <brk id="72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L31"/>
  <sheetViews>
    <sheetView topLeftCell="A13" workbookViewId="0">
      <selection activeCell="L21" sqref="L21"/>
    </sheetView>
  </sheetViews>
  <sheetFormatPr defaultRowHeight="15" x14ac:dyDescent="0.25"/>
  <cols>
    <col min="1" max="1" width="38.28515625" customWidth="1"/>
    <col min="3" max="3" width="9.7109375" customWidth="1"/>
    <col min="4" max="4" width="12.42578125" customWidth="1"/>
    <col min="5" max="5" width="12.5703125" customWidth="1"/>
    <col min="6" max="6" width="12.28515625" customWidth="1"/>
    <col min="7" max="7" width="12.5703125" customWidth="1"/>
    <col min="8" max="8" width="9.42578125" customWidth="1"/>
    <col min="9" max="9" width="9.5703125" bestFit="1" customWidth="1"/>
  </cols>
  <sheetData>
    <row r="6" spans="1:12" ht="15.75" thickBot="1" x14ac:dyDescent="0.3"/>
    <row r="7" spans="1:12" ht="15.75" thickBot="1" x14ac:dyDescent="0.3">
      <c r="A7" s="204" t="s">
        <v>167</v>
      </c>
      <c r="B7" s="205"/>
      <c r="C7" s="205"/>
      <c r="D7" s="205"/>
      <c r="E7" s="205"/>
      <c r="F7" s="205"/>
      <c r="G7" s="205"/>
      <c r="H7" s="205"/>
      <c r="I7" s="206"/>
    </row>
    <row r="9" spans="1:12" ht="60" x14ac:dyDescent="0.25">
      <c r="A9" s="128" t="s">
        <v>153</v>
      </c>
      <c r="B9" s="128" t="s">
        <v>129</v>
      </c>
      <c r="C9" s="126" t="s">
        <v>154</v>
      </c>
      <c r="D9" s="126" t="s">
        <v>155</v>
      </c>
      <c r="E9" s="126" t="s">
        <v>156</v>
      </c>
      <c r="F9" s="126" t="s">
        <v>157</v>
      </c>
      <c r="G9" s="126" t="s">
        <v>158</v>
      </c>
      <c r="H9" s="126" t="s">
        <v>159</v>
      </c>
      <c r="I9" s="126" t="s">
        <v>160</v>
      </c>
    </row>
    <row r="10" spans="1:12" ht="45" x14ac:dyDescent="0.25">
      <c r="A10" s="109" t="s">
        <v>162</v>
      </c>
      <c r="B10" s="129" t="s">
        <v>130</v>
      </c>
      <c r="C10" s="129">
        <v>8</v>
      </c>
      <c r="D10" s="130">
        <v>22.5</v>
      </c>
      <c r="E10" s="130">
        <f>D10*C10</f>
        <v>180</v>
      </c>
      <c r="F10" s="130">
        <f>E10/12</f>
        <v>15</v>
      </c>
      <c r="G10" s="131">
        <v>4</v>
      </c>
      <c r="H10" s="130">
        <f>F10*12</f>
        <v>180</v>
      </c>
      <c r="I10" s="130">
        <f>H10/12</f>
        <v>15</v>
      </c>
    </row>
    <row r="11" spans="1:12" ht="45" x14ac:dyDescent="0.25">
      <c r="A11" s="109" t="s">
        <v>161</v>
      </c>
      <c r="B11" s="129" t="s">
        <v>131</v>
      </c>
      <c r="C11" s="129">
        <v>8</v>
      </c>
      <c r="D11" s="130">
        <v>58</v>
      </c>
      <c r="E11" s="130">
        <f t="shared" ref="E11:E15" si="0">D11*C11</f>
        <v>464</v>
      </c>
      <c r="F11" s="130">
        <f t="shared" ref="F11:F15" si="1">E11/12</f>
        <v>38.666666666666664</v>
      </c>
      <c r="G11" s="131">
        <v>4</v>
      </c>
      <c r="H11" s="130">
        <f t="shared" ref="H11:H15" si="2">E11</f>
        <v>464</v>
      </c>
      <c r="I11" s="130">
        <f t="shared" ref="I11:I15" si="3">H11/12</f>
        <v>38.666666666666664</v>
      </c>
    </row>
    <row r="12" spans="1:12" ht="45" x14ac:dyDescent="0.25">
      <c r="A12" s="109" t="s">
        <v>163</v>
      </c>
      <c r="B12" s="129" t="s">
        <v>131</v>
      </c>
      <c r="C12" s="129">
        <v>4</v>
      </c>
      <c r="D12" s="130">
        <v>12.9</v>
      </c>
      <c r="E12" s="130">
        <f t="shared" si="0"/>
        <v>51.6</v>
      </c>
      <c r="F12" s="130">
        <f t="shared" si="1"/>
        <v>4.3</v>
      </c>
      <c r="G12" s="131">
        <v>4</v>
      </c>
      <c r="H12" s="130">
        <f t="shared" si="2"/>
        <v>51.6</v>
      </c>
      <c r="I12" s="130">
        <f t="shared" si="3"/>
        <v>4.3</v>
      </c>
    </row>
    <row r="13" spans="1:12" ht="105" x14ac:dyDescent="0.25">
      <c r="A13" s="127" t="s">
        <v>164</v>
      </c>
      <c r="B13" s="129" t="s">
        <v>130</v>
      </c>
      <c r="C13" s="129">
        <v>4</v>
      </c>
      <c r="D13" s="130">
        <v>65</v>
      </c>
      <c r="E13" s="130">
        <f t="shared" si="0"/>
        <v>260</v>
      </c>
      <c r="F13" s="130">
        <f t="shared" si="1"/>
        <v>21.666666666666668</v>
      </c>
      <c r="G13" s="131">
        <v>4</v>
      </c>
      <c r="H13" s="130">
        <f t="shared" si="2"/>
        <v>260</v>
      </c>
      <c r="I13" s="130">
        <f t="shared" si="3"/>
        <v>21.666666666666668</v>
      </c>
    </row>
    <row r="14" spans="1:12" ht="45" x14ac:dyDescent="0.25">
      <c r="A14" s="109" t="s">
        <v>165</v>
      </c>
      <c r="B14" s="129" t="s">
        <v>130</v>
      </c>
      <c r="C14" s="129">
        <v>1</v>
      </c>
      <c r="D14" s="130">
        <v>10</v>
      </c>
      <c r="E14" s="130">
        <f t="shared" si="0"/>
        <v>10</v>
      </c>
      <c r="F14" s="130">
        <f t="shared" si="1"/>
        <v>0.83333333333333337</v>
      </c>
      <c r="G14" s="131">
        <v>4</v>
      </c>
      <c r="H14" s="130">
        <f>D14*G14</f>
        <v>40</v>
      </c>
      <c r="I14" s="130">
        <f t="shared" si="3"/>
        <v>3.3333333333333335</v>
      </c>
      <c r="L14" s="137"/>
    </row>
    <row r="15" spans="1:12" ht="45.75" thickBot="1" x14ac:dyDescent="0.3">
      <c r="A15" s="109" t="s">
        <v>166</v>
      </c>
      <c r="B15" s="129" t="s">
        <v>130</v>
      </c>
      <c r="C15" s="129">
        <v>8</v>
      </c>
      <c r="D15" s="130">
        <v>10</v>
      </c>
      <c r="E15" s="130">
        <f t="shared" si="0"/>
        <v>80</v>
      </c>
      <c r="F15" s="130">
        <f t="shared" si="1"/>
        <v>6.666666666666667</v>
      </c>
      <c r="G15" s="132">
        <v>4</v>
      </c>
      <c r="H15" s="130">
        <f t="shared" si="2"/>
        <v>80</v>
      </c>
      <c r="I15" s="130">
        <f t="shared" si="3"/>
        <v>6.666666666666667</v>
      </c>
    </row>
    <row r="16" spans="1:12" x14ac:dyDescent="0.25">
      <c r="F16" s="207" t="s">
        <v>168</v>
      </c>
      <c r="G16" s="208"/>
      <c r="H16" s="211">
        <f>H15+H14+H13+H12+H11+H10</f>
        <v>1075.5999999999999</v>
      </c>
      <c r="I16" s="133"/>
    </row>
    <row r="17" spans="1:10" ht="15.75" thickBot="1" x14ac:dyDescent="0.3">
      <c r="F17" s="209"/>
      <c r="G17" s="210"/>
      <c r="H17" s="212"/>
      <c r="I17" s="134"/>
    </row>
    <row r="18" spans="1:10" x14ac:dyDescent="0.25">
      <c r="F18" s="207" t="s">
        <v>169</v>
      </c>
      <c r="G18" s="208"/>
      <c r="H18" s="135"/>
      <c r="I18" s="213">
        <f>H16/12</f>
        <v>89.633333333333326</v>
      </c>
    </row>
    <row r="19" spans="1:10" ht="15.75" thickBot="1" x14ac:dyDescent="0.3">
      <c r="F19" s="209"/>
      <c r="G19" s="210"/>
      <c r="H19" s="136"/>
      <c r="I19" s="214"/>
    </row>
    <row r="21" spans="1:10" ht="15.75" thickBot="1" x14ac:dyDescent="0.3"/>
    <row r="22" spans="1:10" ht="15.75" thickBot="1" x14ac:dyDescent="0.3">
      <c r="A22" s="204" t="s">
        <v>178</v>
      </c>
      <c r="B22" s="205"/>
      <c r="C22" s="205"/>
      <c r="D22" s="205"/>
      <c r="E22" s="205"/>
      <c r="F22" s="205"/>
      <c r="G22" s="205"/>
      <c r="H22" s="205"/>
      <c r="I22" s="206"/>
    </row>
    <row r="24" spans="1:10" ht="45" x14ac:dyDescent="0.25">
      <c r="A24" s="128" t="s">
        <v>170</v>
      </c>
      <c r="B24" s="128" t="s">
        <v>129</v>
      </c>
      <c r="C24" s="126" t="s">
        <v>172</v>
      </c>
      <c r="D24" s="126" t="s">
        <v>173</v>
      </c>
      <c r="E24" s="126" t="s">
        <v>174</v>
      </c>
      <c r="F24" s="126" t="s">
        <v>175</v>
      </c>
      <c r="G24" s="126" t="s">
        <v>157</v>
      </c>
      <c r="H24" s="126" t="s">
        <v>176</v>
      </c>
      <c r="I24" s="126" t="s">
        <v>160</v>
      </c>
      <c r="J24" s="112" t="s">
        <v>159</v>
      </c>
    </row>
    <row r="25" spans="1:10" ht="30" x14ac:dyDescent="0.25">
      <c r="A25" s="109" t="s">
        <v>171</v>
      </c>
      <c r="B25" s="110">
        <v>1</v>
      </c>
      <c r="C25" s="111">
        <v>240</v>
      </c>
      <c r="D25" s="110">
        <v>60</v>
      </c>
      <c r="E25" s="138">
        <f>C25/D25</f>
        <v>4</v>
      </c>
      <c r="F25" s="138">
        <f>E25*12</f>
        <v>48</v>
      </c>
      <c r="G25" s="138">
        <f>E25/2</f>
        <v>2</v>
      </c>
      <c r="H25" s="110">
        <v>4</v>
      </c>
      <c r="I25" s="138">
        <f>E25*H25</f>
        <v>16</v>
      </c>
      <c r="J25" s="139">
        <f>I25*12</f>
        <v>192</v>
      </c>
    </row>
    <row r="26" spans="1:10" x14ac:dyDescent="0.25">
      <c r="A26" s="108" t="s">
        <v>177</v>
      </c>
      <c r="B26" s="110">
        <v>12</v>
      </c>
      <c r="C26" s="111">
        <v>10.5</v>
      </c>
      <c r="D26" s="110">
        <v>12</v>
      </c>
      <c r="E26" s="138">
        <f>C26</f>
        <v>10.5</v>
      </c>
      <c r="F26" s="138">
        <f>E26*12</f>
        <v>126</v>
      </c>
      <c r="G26" s="138">
        <f>E26/2</f>
        <v>5.25</v>
      </c>
      <c r="H26" s="110">
        <v>4</v>
      </c>
      <c r="I26" s="138">
        <f>E26*H26</f>
        <v>42</v>
      </c>
      <c r="J26" s="139">
        <f>I26*12</f>
        <v>504</v>
      </c>
    </row>
    <row r="27" spans="1:10" ht="15.75" thickBot="1" x14ac:dyDescent="0.3">
      <c r="A27" s="108"/>
      <c r="B27" s="110"/>
      <c r="C27" s="111"/>
      <c r="D27" s="110"/>
      <c r="E27" s="108"/>
      <c r="F27" s="108"/>
      <c r="G27" s="108"/>
      <c r="H27" s="110"/>
      <c r="I27" s="108"/>
      <c r="J27" s="140"/>
    </row>
    <row r="28" spans="1:10" x14ac:dyDescent="0.25">
      <c r="G28" s="207" t="s">
        <v>168</v>
      </c>
      <c r="H28" s="208"/>
      <c r="I28" s="211"/>
      <c r="J28" s="141"/>
    </row>
    <row r="29" spans="1:10" ht="15.75" thickBot="1" x14ac:dyDescent="0.3">
      <c r="G29" s="209"/>
      <c r="H29" s="210"/>
      <c r="I29" s="212"/>
      <c r="J29" s="142">
        <f>SUM(J25:J28)</f>
        <v>696</v>
      </c>
    </row>
    <row r="30" spans="1:10" x14ac:dyDescent="0.25">
      <c r="G30" s="207" t="s">
        <v>169</v>
      </c>
      <c r="H30" s="208"/>
      <c r="I30" s="135"/>
      <c r="J30" s="213">
        <f>J29/12</f>
        <v>58</v>
      </c>
    </row>
    <row r="31" spans="1:10" ht="15.75" thickBot="1" x14ac:dyDescent="0.3">
      <c r="G31" s="209"/>
      <c r="H31" s="210"/>
      <c r="I31" s="136"/>
      <c r="J31" s="214"/>
    </row>
  </sheetData>
  <mergeCells count="10">
    <mergeCell ref="A22:I22"/>
    <mergeCell ref="G28:H29"/>
    <mergeCell ref="I28:I29"/>
    <mergeCell ref="G30:H31"/>
    <mergeCell ref="J30:J31"/>
    <mergeCell ref="A7:I7"/>
    <mergeCell ref="F16:G17"/>
    <mergeCell ref="F18:G19"/>
    <mergeCell ref="H16:H17"/>
    <mergeCell ref="I18:I19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Orçamento_Estimativo</vt:lpstr>
      <vt:lpstr>VIG ELET DIURNO</vt:lpstr>
      <vt:lpstr>VIG ELET NOTURNO</vt:lpstr>
      <vt:lpstr>UNIF E EPI ELET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Cleia</dc:creator>
  <cp:lastModifiedBy>Escritorio</cp:lastModifiedBy>
  <cp:revision/>
  <dcterms:created xsi:type="dcterms:W3CDTF">2012-03-28T19:50:25Z</dcterms:created>
  <dcterms:modified xsi:type="dcterms:W3CDTF">2017-11-07T15:31:02Z</dcterms:modified>
</cp:coreProperties>
</file>